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age\Downloads\"/>
    </mc:Choice>
  </mc:AlternateContent>
  <xr:revisionPtr revIDLastSave="0" documentId="8_{29933CA7-3727-4876-AD53-FA93B0F99EE3}" xr6:coauthVersionLast="47" xr6:coauthVersionMax="47" xr10:uidLastSave="{00000000-0000-0000-0000-000000000000}"/>
  <bookViews>
    <workbookView xWindow="-120" yWindow="-120" windowWidth="29040" windowHeight="15720" firstSheet="2" activeTab="2" xr2:uid="{A818C0BB-4698-425E-88C1-B98356BD63D5}"/>
  </bookViews>
  <sheets>
    <sheet name="Active &amp; Renewals" sheetId="21" state="hidden" r:id="rId1"/>
    <sheet name="Donations" sheetId="20" state="hidden" r:id="rId2"/>
    <sheet name="Ratings" sheetId="1" r:id="rId3"/>
    <sheet name="Legends" sheetId="3" r:id="rId4"/>
    <sheet name="D1" sheetId="4" r:id="rId5"/>
    <sheet name="D3" sheetId="5" r:id="rId6"/>
    <sheet name="D4" sheetId="6" r:id="rId7"/>
    <sheet name="D5" sheetId="7" r:id="rId8"/>
    <sheet name="D6" sheetId="8" r:id="rId9"/>
    <sheet name="D7" sheetId="9" r:id="rId10"/>
    <sheet name="D9" sheetId="10" r:id="rId11"/>
    <sheet name="D11" sheetId="11" r:id="rId12"/>
    <sheet name="D12" sheetId="12" r:id="rId13"/>
    <sheet name="D13" sheetId="14" r:id="rId14"/>
    <sheet name="D14" sheetId="13" r:id="rId15"/>
    <sheet name="D15" sheetId="15" r:id="rId16"/>
    <sheet name="Ranking" sheetId="16" r:id="rId17"/>
    <sheet name="Lodge Rank by District" sheetId="17" state="hidden" r:id="rId18"/>
    <sheet name="District " sheetId="18" r:id="rId19"/>
    <sheet name="Worksheet" sheetId="22" r:id="rId20"/>
  </sheets>
  <definedNames>
    <definedName name="_xlnm._FilterDatabase" localSheetId="16" hidden="1">Ranking!$A$1:$E$8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0" i="1" l="1"/>
  <c r="I139" i="1"/>
  <c r="I138" i="1"/>
  <c r="I137" i="1"/>
  <c r="I136" i="1"/>
  <c r="I135" i="1"/>
  <c r="I134" i="1"/>
  <c r="I133" i="1"/>
  <c r="I132" i="1"/>
  <c r="I131" i="1"/>
  <c r="I130" i="1"/>
  <c r="I129" i="1"/>
  <c r="I125" i="1"/>
  <c r="I124" i="1"/>
  <c r="I123" i="1"/>
  <c r="I122" i="1"/>
  <c r="I121" i="1"/>
  <c r="I120" i="1"/>
  <c r="I119" i="1"/>
  <c r="I115" i="1"/>
  <c r="I114" i="1"/>
  <c r="I113" i="1"/>
  <c r="I112" i="1"/>
  <c r="I111" i="1"/>
  <c r="I110" i="1"/>
  <c r="I109" i="1"/>
  <c r="I105" i="1"/>
  <c r="I104" i="1"/>
  <c r="I103" i="1"/>
  <c r="I102" i="1"/>
  <c r="I101" i="1"/>
  <c r="I100" i="1"/>
  <c r="I99" i="1"/>
  <c r="I95" i="1"/>
  <c r="I94" i="1"/>
  <c r="I93" i="1"/>
  <c r="I92" i="1"/>
  <c r="I91" i="1"/>
  <c r="I90" i="1"/>
  <c r="I89" i="1"/>
  <c r="I88" i="1"/>
  <c r="I87" i="1"/>
  <c r="I83" i="1"/>
  <c r="I82" i="1"/>
  <c r="I81" i="1"/>
  <c r="I80" i="1"/>
  <c r="I79" i="1"/>
  <c r="I78" i="1"/>
  <c r="I77" i="1"/>
  <c r="I76" i="1"/>
  <c r="I75" i="1"/>
  <c r="I74" i="1"/>
  <c r="I73" i="1"/>
  <c r="I72" i="1"/>
  <c r="I68" i="1"/>
  <c r="I67" i="1"/>
  <c r="I66" i="1"/>
  <c r="I65" i="1"/>
  <c r="I64" i="1"/>
  <c r="I63" i="1"/>
  <c r="I62" i="1"/>
  <c r="I58" i="1"/>
  <c r="I57" i="1"/>
  <c r="I56" i="1"/>
  <c r="I55" i="1"/>
  <c r="I54" i="1"/>
  <c r="I53" i="1"/>
  <c r="I52" i="1"/>
  <c r="I51" i="1"/>
  <c r="I50" i="1"/>
  <c r="I46" i="1"/>
  <c r="I45" i="1"/>
  <c r="I44" i="1"/>
  <c r="I43" i="1"/>
  <c r="I42" i="1"/>
  <c r="I41" i="1"/>
  <c r="I40" i="1"/>
  <c r="I36" i="1"/>
  <c r="I35" i="1"/>
  <c r="I34" i="1"/>
  <c r="I33" i="1"/>
  <c r="I32" i="1"/>
  <c r="I31" i="1"/>
  <c r="I30" i="1"/>
  <c r="I29" i="1"/>
  <c r="I28" i="1"/>
  <c r="I27" i="1"/>
  <c r="I23" i="1"/>
  <c r="I22" i="1"/>
  <c r="I21" i="1"/>
  <c r="I20" i="1"/>
  <c r="I19" i="1"/>
  <c r="I18" i="1"/>
  <c r="I17" i="1"/>
  <c r="I16" i="1"/>
  <c r="I15" i="1"/>
  <c r="I11" i="1"/>
  <c r="I10" i="1"/>
  <c r="I9" i="1"/>
  <c r="I8" i="1"/>
  <c r="I7" i="1"/>
  <c r="I6" i="1"/>
  <c r="I5" i="1"/>
  <c r="I4" i="1"/>
  <c r="J4" i="1" s="1" a="1"/>
  <c r="J4" i="1" s="1"/>
  <c r="AU99" i="1"/>
  <c r="AP140" i="1"/>
  <c r="AP139" i="1"/>
  <c r="AP138" i="1"/>
  <c r="AP137" i="1"/>
  <c r="AP136" i="1"/>
  <c r="AP135" i="1"/>
  <c r="AP134" i="1"/>
  <c r="AP133" i="1"/>
  <c r="AP132" i="1"/>
  <c r="AP131" i="1"/>
  <c r="AP130" i="1"/>
  <c r="AP129" i="1"/>
  <c r="AP125" i="1"/>
  <c r="AP124" i="1"/>
  <c r="AP123" i="1"/>
  <c r="AP122" i="1"/>
  <c r="AP121" i="1"/>
  <c r="AP120" i="1"/>
  <c r="AP119" i="1"/>
  <c r="AP115" i="1"/>
  <c r="AP114" i="1"/>
  <c r="AP113" i="1"/>
  <c r="AP112" i="1"/>
  <c r="AP111" i="1"/>
  <c r="AP110" i="1"/>
  <c r="AP109" i="1"/>
  <c r="AP105" i="1"/>
  <c r="AP104" i="1"/>
  <c r="AP103" i="1"/>
  <c r="AP102" i="1"/>
  <c r="AP101" i="1"/>
  <c r="AP100" i="1"/>
  <c r="AP99" i="1"/>
  <c r="AP95" i="1"/>
  <c r="AP94" i="1"/>
  <c r="AP93" i="1"/>
  <c r="AP92" i="1"/>
  <c r="AP91" i="1"/>
  <c r="AP90" i="1"/>
  <c r="AP89" i="1"/>
  <c r="AP88" i="1"/>
  <c r="AP87" i="1"/>
  <c r="AP83" i="1"/>
  <c r="AP82" i="1"/>
  <c r="AP81" i="1"/>
  <c r="AP80" i="1"/>
  <c r="AP79" i="1"/>
  <c r="AP78" i="1"/>
  <c r="AP77" i="1"/>
  <c r="AP76" i="1"/>
  <c r="AP74" i="1"/>
  <c r="AP73" i="1"/>
  <c r="AP72" i="1"/>
  <c r="AP68" i="1"/>
  <c r="AP67" i="1"/>
  <c r="AP66" i="1"/>
  <c r="AP62" i="1"/>
  <c r="AP65" i="1"/>
  <c r="AP64" i="1"/>
  <c r="AP63" i="1"/>
  <c r="AP58" i="1"/>
  <c r="AP57" i="1"/>
  <c r="AP56" i="1"/>
  <c r="AP55" i="1"/>
  <c r="AP54" i="1"/>
  <c r="AP53" i="1"/>
  <c r="AP52" i="1"/>
  <c r="AP51" i="1"/>
  <c r="AP50" i="1"/>
  <c r="AP46" i="1"/>
  <c r="AP45" i="1"/>
  <c r="AP44" i="1"/>
  <c r="AP43" i="1"/>
  <c r="AP42" i="1"/>
  <c r="AP41" i="1"/>
  <c r="AP40" i="1"/>
  <c r="AP36" i="1"/>
  <c r="AP35" i="1"/>
  <c r="AP34" i="1"/>
  <c r="AP33" i="1"/>
  <c r="AP32" i="1"/>
  <c r="AP31" i="1"/>
  <c r="AP29" i="1"/>
  <c r="AP28" i="1"/>
  <c r="AP27" i="1"/>
  <c r="AP23" i="1"/>
  <c r="AP22" i="1"/>
  <c r="AP18" i="1"/>
  <c r="AP17" i="1"/>
  <c r="AP16" i="1"/>
  <c r="AP15" i="1"/>
  <c r="AP11" i="1"/>
  <c r="AP10" i="1"/>
  <c r="AP8" i="1"/>
  <c r="AP7" i="1"/>
  <c r="AP6" i="1"/>
  <c r="AP5" i="1"/>
  <c r="AP4" i="1"/>
  <c r="R1" i="22"/>
  <c r="AR1" i="22"/>
  <c r="BB2" i="22"/>
  <c r="AP2" i="22"/>
  <c r="AN2" i="22"/>
  <c r="AJ2" i="22"/>
  <c r="AG2" i="22"/>
  <c r="AE2" i="22"/>
  <c r="AC2" i="22"/>
  <c r="AA2" i="22"/>
  <c r="X2" i="22"/>
  <c r="S2" i="22"/>
  <c r="R2" i="22"/>
  <c r="L2" i="22"/>
  <c r="K2" i="22"/>
  <c r="I2" i="22"/>
  <c r="F2" i="22"/>
  <c r="E2" i="22"/>
  <c r="A1" i="22"/>
  <c r="AN114" i="1"/>
  <c r="C14" i="12" l="1"/>
  <c r="D14" i="12"/>
  <c r="E14" i="12"/>
  <c r="F14" i="12"/>
  <c r="G14" i="12"/>
  <c r="H14" i="12"/>
  <c r="B14" i="12"/>
  <c r="AK41" i="1" a="1"/>
  <c r="AK41" i="1" s="1"/>
  <c r="BC88" i="1" a="1"/>
  <c r="BC88" i="1" s="1"/>
  <c r="J140" i="1" a="1"/>
  <c r="J140" i="1" s="1"/>
  <c r="J139" i="1" a="1"/>
  <c r="J139" i="1" s="1"/>
  <c r="J138" i="1" a="1"/>
  <c r="J138" i="1" s="1"/>
  <c r="J137" i="1" a="1"/>
  <c r="J137" i="1" s="1"/>
  <c r="J136" i="1" a="1"/>
  <c r="J136" i="1" s="1"/>
  <c r="J135" i="1" a="1"/>
  <c r="J135" i="1" s="1"/>
  <c r="J134" i="1" a="1"/>
  <c r="J134" i="1" s="1"/>
  <c r="J133" i="1" a="1"/>
  <c r="J133" i="1" s="1"/>
  <c r="J132" i="1" a="1"/>
  <c r="J132" i="1" s="1"/>
  <c r="J131" i="1" a="1"/>
  <c r="J131" i="1" s="1"/>
  <c r="J130" i="1" a="1"/>
  <c r="J130" i="1" s="1"/>
  <c r="J129" i="1" a="1"/>
  <c r="J129" i="1" s="1"/>
  <c r="J125" i="1" a="1"/>
  <c r="J125" i="1" s="1"/>
  <c r="J124" i="1" a="1"/>
  <c r="J124" i="1" s="1"/>
  <c r="J123" i="1" a="1"/>
  <c r="J123" i="1" s="1"/>
  <c r="J122" i="1" a="1"/>
  <c r="J122" i="1" s="1"/>
  <c r="J121" i="1" a="1"/>
  <c r="J121" i="1" s="1"/>
  <c r="J120" i="1" a="1"/>
  <c r="J120" i="1" s="1"/>
  <c r="J119" i="1" a="1"/>
  <c r="J119" i="1" s="1"/>
  <c r="J115" i="1" a="1"/>
  <c r="J115" i="1" s="1"/>
  <c r="J114" i="1" a="1"/>
  <c r="J114" i="1" s="1"/>
  <c r="J113" i="1" a="1"/>
  <c r="J113" i="1" s="1"/>
  <c r="J112" i="1" a="1"/>
  <c r="J112" i="1" s="1"/>
  <c r="J111" i="1" a="1"/>
  <c r="J111" i="1" s="1"/>
  <c r="J110" i="1" a="1"/>
  <c r="J110" i="1" s="1"/>
  <c r="J109" i="1" a="1"/>
  <c r="J109" i="1" s="1"/>
  <c r="J105" i="1" a="1"/>
  <c r="J105" i="1" s="1"/>
  <c r="J104" i="1" a="1"/>
  <c r="J104" i="1" s="1"/>
  <c r="J103" i="1" a="1"/>
  <c r="J103" i="1" s="1"/>
  <c r="J102" i="1" a="1"/>
  <c r="J102" i="1" s="1"/>
  <c r="J101" i="1" a="1"/>
  <c r="J101" i="1" s="1"/>
  <c r="J100" i="1" a="1"/>
  <c r="J100" i="1" s="1"/>
  <c r="J99" i="1" a="1"/>
  <c r="J99" i="1" s="1"/>
  <c r="J95" i="1" a="1"/>
  <c r="J95" i="1" s="1"/>
  <c r="J94" i="1" a="1"/>
  <c r="J94" i="1" s="1"/>
  <c r="J93" i="1" a="1"/>
  <c r="J93" i="1" s="1"/>
  <c r="J92" i="1" a="1"/>
  <c r="J92" i="1" s="1"/>
  <c r="J91" i="1" a="1"/>
  <c r="J91" i="1" s="1"/>
  <c r="J90" i="1" a="1"/>
  <c r="J90" i="1" s="1"/>
  <c r="J89" i="1" a="1"/>
  <c r="J89" i="1" s="1"/>
  <c r="J88" i="1" a="1"/>
  <c r="J88" i="1" s="1"/>
  <c r="J87" i="1" a="1"/>
  <c r="J87" i="1" s="1"/>
  <c r="J83" i="1" a="1"/>
  <c r="J83" i="1" s="1"/>
  <c r="J82" i="1" a="1"/>
  <c r="J82" i="1" s="1"/>
  <c r="J81" i="1" a="1"/>
  <c r="J81" i="1" s="1"/>
  <c r="J80" i="1" a="1"/>
  <c r="J80" i="1" s="1"/>
  <c r="J79" i="1" a="1"/>
  <c r="J79" i="1" s="1"/>
  <c r="J78" i="1" a="1"/>
  <c r="J78" i="1" s="1"/>
  <c r="J77" i="1" a="1"/>
  <c r="J77" i="1" s="1"/>
  <c r="J76" i="1" a="1"/>
  <c r="J76" i="1" s="1"/>
  <c r="J75" i="1" a="1"/>
  <c r="J75" i="1" s="1"/>
  <c r="J74" i="1" a="1"/>
  <c r="J74" i="1" s="1"/>
  <c r="J73" i="1" a="1"/>
  <c r="J73" i="1" s="1"/>
  <c r="J72" i="1" a="1"/>
  <c r="J72" i="1" s="1"/>
  <c r="J68" i="1" a="1"/>
  <c r="J68" i="1" s="1"/>
  <c r="J67" i="1" a="1"/>
  <c r="J67" i="1" s="1"/>
  <c r="J66" i="1" a="1"/>
  <c r="J66" i="1" s="1"/>
  <c r="J65" i="1" a="1"/>
  <c r="J65" i="1" s="1"/>
  <c r="J64" i="1" a="1"/>
  <c r="J64" i="1" s="1"/>
  <c r="J63" i="1" a="1"/>
  <c r="J63" i="1" s="1"/>
  <c r="J62" i="1" a="1"/>
  <c r="J62" i="1" s="1"/>
  <c r="J58" i="1" a="1"/>
  <c r="J58" i="1" s="1"/>
  <c r="J57" i="1" a="1"/>
  <c r="J57" i="1" s="1"/>
  <c r="J56" i="1" a="1"/>
  <c r="J56" i="1" s="1"/>
  <c r="J55" i="1" a="1"/>
  <c r="J55" i="1" s="1"/>
  <c r="J54" i="1" a="1"/>
  <c r="J54" i="1" s="1"/>
  <c r="J53" i="1" a="1"/>
  <c r="J53" i="1" s="1"/>
  <c r="J52" i="1" a="1"/>
  <c r="J52" i="1" s="1"/>
  <c r="J51" i="1" a="1"/>
  <c r="J51" i="1" s="1"/>
  <c r="J50" i="1" a="1"/>
  <c r="J50" i="1" s="1"/>
  <c r="J46" i="1" a="1"/>
  <c r="J46" i="1" s="1"/>
  <c r="J45" i="1" a="1"/>
  <c r="J45" i="1" s="1"/>
  <c r="J44" i="1" a="1"/>
  <c r="J44" i="1" s="1"/>
  <c r="J43" i="1" a="1"/>
  <c r="J43" i="1" s="1"/>
  <c r="J42" i="1" a="1"/>
  <c r="J42" i="1" s="1"/>
  <c r="J41" i="1" a="1"/>
  <c r="J41" i="1" s="1"/>
  <c r="J40" i="1" a="1"/>
  <c r="J40" i="1" s="1"/>
  <c r="J36" i="1" a="1"/>
  <c r="J36" i="1" s="1"/>
  <c r="J35" i="1" a="1"/>
  <c r="J35" i="1" s="1"/>
  <c r="J34" i="1" a="1"/>
  <c r="J34" i="1" s="1"/>
  <c r="J33" i="1" a="1"/>
  <c r="J33" i="1" s="1"/>
  <c r="J32" i="1" a="1"/>
  <c r="J32" i="1" s="1"/>
  <c r="J31" i="1" a="1"/>
  <c r="J31" i="1" s="1"/>
  <c r="J30" i="1" a="1"/>
  <c r="J30" i="1" s="1"/>
  <c r="J29" i="1" a="1"/>
  <c r="J29" i="1" s="1"/>
  <c r="J28" i="1" a="1"/>
  <c r="J28" i="1" s="1"/>
  <c r="J27" i="1" a="1"/>
  <c r="J27" i="1" s="1"/>
  <c r="J23" i="1" a="1"/>
  <c r="J23" i="1" s="1"/>
  <c r="J22" i="1" a="1"/>
  <c r="J22" i="1" s="1"/>
  <c r="J21" i="1" a="1"/>
  <c r="J21" i="1" s="1"/>
  <c r="J20" i="1" a="1"/>
  <c r="J20" i="1" s="1"/>
  <c r="J19" i="1" a="1"/>
  <c r="J19" i="1" s="1"/>
  <c r="J18" i="1" a="1"/>
  <c r="J18" i="1" s="1"/>
  <c r="J17" i="1" a="1"/>
  <c r="J17" i="1" s="1"/>
  <c r="J16" i="1" a="1"/>
  <c r="J16" i="1" s="1"/>
  <c r="J15" i="1" a="1"/>
  <c r="J15" i="1" s="1"/>
  <c r="J11" i="1" a="1"/>
  <c r="J11" i="1" s="1"/>
  <c r="J10" i="1" a="1"/>
  <c r="J10" i="1" s="1"/>
  <c r="J9" i="1" a="1"/>
  <c r="J9" i="1" s="1"/>
  <c r="J8" i="1" a="1"/>
  <c r="J8" i="1" s="1"/>
  <c r="J7" i="1" a="1"/>
  <c r="J7" i="1" s="1"/>
  <c r="J6" i="1" a="1"/>
  <c r="J6" i="1" s="1"/>
  <c r="J5" i="1" a="1"/>
  <c r="J5" i="1" s="1"/>
  <c r="AN140" i="1"/>
  <c r="AN139" i="1"/>
  <c r="AN138" i="1"/>
  <c r="AN137" i="1"/>
  <c r="AN136" i="1"/>
  <c r="AN135" i="1"/>
  <c r="AN134" i="1"/>
  <c r="AN133" i="1"/>
  <c r="AN132" i="1"/>
  <c r="AN131" i="1"/>
  <c r="AN130" i="1"/>
  <c r="AN129" i="1"/>
  <c r="AN125" i="1"/>
  <c r="AN124" i="1"/>
  <c r="AN123" i="1"/>
  <c r="AN122" i="1"/>
  <c r="AN121" i="1"/>
  <c r="AN120" i="1"/>
  <c r="AN119" i="1"/>
  <c r="AN115" i="1"/>
  <c r="AN113" i="1"/>
  <c r="AN112" i="1"/>
  <c r="AN111" i="1"/>
  <c r="AN110" i="1"/>
  <c r="AN109" i="1"/>
  <c r="AO109" i="1" s="1" a="1"/>
  <c r="AO109" i="1" s="1"/>
  <c r="AN105" i="1"/>
  <c r="AN104" i="1"/>
  <c r="AN103" i="1"/>
  <c r="AN102" i="1"/>
  <c r="AN101" i="1"/>
  <c r="AN100" i="1"/>
  <c r="AN99" i="1"/>
  <c r="AN95" i="1"/>
  <c r="AN94" i="1"/>
  <c r="AN93" i="1"/>
  <c r="AN92" i="1"/>
  <c r="AN91" i="1"/>
  <c r="AN90" i="1"/>
  <c r="AN89" i="1"/>
  <c r="AN88" i="1"/>
  <c r="AN87" i="1"/>
  <c r="AN83" i="1"/>
  <c r="AN82" i="1"/>
  <c r="AN81" i="1"/>
  <c r="AN80" i="1"/>
  <c r="AN79" i="1"/>
  <c r="AN78" i="1"/>
  <c r="AN77" i="1"/>
  <c r="AN76" i="1"/>
  <c r="AN75" i="1"/>
  <c r="AN74" i="1"/>
  <c r="AN73" i="1"/>
  <c r="AN72" i="1"/>
  <c r="AN68" i="1"/>
  <c r="AN67" i="1"/>
  <c r="AN66" i="1"/>
  <c r="AN65" i="1"/>
  <c r="AN64" i="1"/>
  <c r="AN63" i="1"/>
  <c r="AN62" i="1"/>
  <c r="AN58" i="1"/>
  <c r="AN57" i="1"/>
  <c r="AN56" i="1"/>
  <c r="AN55" i="1"/>
  <c r="AN54" i="1"/>
  <c r="AN53" i="1"/>
  <c r="AN52" i="1"/>
  <c r="AN51" i="1"/>
  <c r="AN50" i="1"/>
  <c r="AN46" i="1"/>
  <c r="AN45" i="1"/>
  <c r="AN44" i="1"/>
  <c r="AN43" i="1"/>
  <c r="AN41" i="1"/>
  <c r="AN40" i="1"/>
  <c r="AN36" i="1"/>
  <c r="AN35" i="1"/>
  <c r="AN34" i="1"/>
  <c r="AN33" i="1"/>
  <c r="AN32" i="1"/>
  <c r="AN31" i="1"/>
  <c r="AN30" i="1"/>
  <c r="AN29" i="1"/>
  <c r="AN28" i="1"/>
  <c r="AN27" i="1"/>
  <c r="AN20" i="1"/>
  <c r="AN19" i="1"/>
  <c r="AN18" i="1"/>
  <c r="AN17" i="1"/>
  <c r="AN16" i="1"/>
  <c r="AN11" i="1"/>
  <c r="AN10" i="1"/>
  <c r="AN9" i="1"/>
  <c r="AN8" i="1"/>
  <c r="AN7" i="1"/>
  <c r="AN6" i="1"/>
  <c r="AN4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5" i="1"/>
  <c r="X124" i="1"/>
  <c r="X123" i="1"/>
  <c r="X122" i="1"/>
  <c r="X121" i="1"/>
  <c r="X120" i="1"/>
  <c r="X119" i="1"/>
  <c r="X115" i="1"/>
  <c r="X114" i="1"/>
  <c r="X113" i="1"/>
  <c r="X112" i="1"/>
  <c r="X111" i="1"/>
  <c r="X110" i="1"/>
  <c r="X109" i="1"/>
  <c r="X105" i="1"/>
  <c r="X104" i="1"/>
  <c r="X103" i="1"/>
  <c r="X102" i="1"/>
  <c r="X101" i="1"/>
  <c r="X100" i="1"/>
  <c r="X99" i="1"/>
  <c r="X95" i="1"/>
  <c r="X94" i="1"/>
  <c r="X93" i="1"/>
  <c r="X92" i="1"/>
  <c r="X91" i="1"/>
  <c r="X90" i="1"/>
  <c r="X89" i="1"/>
  <c r="X88" i="1"/>
  <c r="X87" i="1"/>
  <c r="X83" i="1"/>
  <c r="X82" i="1"/>
  <c r="X81" i="1"/>
  <c r="X80" i="1"/>
  <c r="X79" i="1"/>
  <c r="X78" i="1"/>
  <c r="X77" i="1"/>
  <c r="X76" i="1"/>
  <c r="X75" i="1"/>
  <c r="X74" i="1"/>
  <c r="X73" i="1"/>
  <c r="X72" i="1"/>
  <c r="X68" i="1"/>
  <c r="X67" i="1"/>
  <c r="X66" i="1"/>
  <c r="X65" i="1"/>
  <c r="X64" i="1"/>
  <c r="X63" i="1"/>
  <c r="X62" i="1"/>
  <c r="X46" i="1"/>
  <c r="X45" i="1"/>
  <c r="X44" i="1"/>
  <c r="X43" i="1"/>
  <c r="X42" i="1"/>
  <c r="X41" i="1"/>
  <c r="X40" i="1"/>
  <c r="X36" i="1"/>
  <c r="X35" i="1"/>
  <c r="X34" i="1"/>
  <c r="X33" i="1"/>
  <c r="X32" i="1"/>
  <c r="X31" i="1"/>
  <c r="X30" i="1"/>
  <c r="X29" i="1"/>
  <c r="X28" i="1"/>
  <c r="X27" i="1"/>
  <c r="X23" i="1"/>
  <c r="X22" i="1"/>
  <c r="X21" i="1"/>
  <c r="X20" i="1"/>
  <c r="X19" i="1"/>
  <c r="X18" i="1"/>
  <c r="X17" i="1"/>
  <c r="X16" i="1"/>
  <c r="X15" i="1"/>
  <c r="X11" i="1"/>
  <c r="X10" i="1"/>
  <c r="X9" i="1"/>
  <c r="X8" i="1"/>
  <c r="X7" i="1"/>
  <c r="X6" i="1"/>
  <c r="X5" i="1"/>
  <c r="X4" i="1"/>
  <c r="X58" i="1"/>
  <c r="X57" i="1"/>
  <c r="X56" i="1"/>
  <c r="X55" i="1"/>
  <c r="X54" i="1"/>
  <c r="X53" i="1"/>
  <c r="X52" i="1"/>
  <c r="X51" i="1"/>
  <c r="X50" i="1"/>
  <c r="BC52" i="1" a="1"/>
  <c r="BC52" i="1" s="1"/>
  <c r="D106" i="20"/>
  <c r="AN42" i="1"/>
  <c r="AN23" i="1"/>
  <c r="AN22" i="1"/>
  <c r="AO22" i="1" s="1" a="1"/>
  <c r="AO22" i="1" s="1"/>
  <c r="AN21" i="1"/>
  <c r="AN15" i="1"/>
  <c r="AN5" i="1"/>
  <c r="S87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5" i="1"/>
  <c r="S124" i="1"/>
  <c r="S123" i="1"/>
  <c r="S122" i="1"/>
  <c r="S121" i="1"/>
  <c r="S120" i="1"/>
  <c r="S119" i="1"/>
  <c r="S115" i="1"/>
  <c r="S114" i="1"/>
  <c r="S113" i="1"/>
  <c r="S112" i="1"/>
  <c r="S111" i="1"/>
  <c r="S110" i="1"/>
  <c r="S109" i="1"/>
  <c r="S105" i="1"/>
  <c r="S104" i="1"/>
  <c r="S103" i="1"/>
  <c r="S102" i="1"/>
  <c r="S101" i="1"/>
  <c r="S100" i="1"/>
  <c r="S99" i="1"/>
  <c r="S95" i="1"/>
  <c r="S94" i="1"/>
  <c r="S93" i="1"/>
  <c r="S92" i="1"/>
  <c r="S91" i="1"/>
  <c r="S90" i="1"/>
  <c r="S89" i="1"/>
  <c r="S88" i="1"/>
  <c r="S83" i="1"/>
  <c r="S82" i="1"/>
  <c r="S81" i="1"/>
  <c r="S80" i="1"/>
  <c r="S79" i="1"/>
  <c r="S78" i="1"/>
  <c r="S77" i="1"/>
  <c r="S76" i="1"/>
  <c r="S75" i="1"/>
  <c r="S74" i="1"/>
  <c r="S73" i="1"/>
  <c r="S72" i="1"/>
  <c r="S68" i="1"/>
  <c r="S67" i="1"/>
  <c r="S66" i="1"/>
  <c r="S65" i="1"/>
  <c r="S64" i="1"/>
  <c r="S63" i="1"/>
  <c r="S62" i="1"/>
  <c r="S58" i="1"/>
  <c r="S57" i="1"/>
  <c r="S56" i="1"/>
  <c r="S55" i="1"/>
  <c r="S54" i="1"/>
  <c r="S53" i="1"/>
  <c r="S52" i="1"/>
  <c r="S51" i="1"/>
  <c r="S50" i="1"/>
  <c r="S46" i="1"/>
  <c r="S45" i="1"/>
  <c r="S44" i="1"/>
  <c r="S43" i="1"/>
  <c r="S42" i="1"/>
  <c r="S41" i="1"/>
  <c r="S40" i="1"/>
  <c r="S36" i="1"/>
  <c r="S35" i="1"/>
  <c r="S34" i="1"/>
  <c r="S33" i="1"/>
  <c r="S32" i="1"/>
  <c r="S31" i="1"/>
  <c r="S30" i="1"/>
  <c r="S29" i="1"/>
  <c r="S28" i="1"/>
  <c r="S27" i="1"/>
  <c r="S23" i="1"/>
  <c r="S22" i="1"/>
  <c r="S21" i="1"/>
  <c r="S20" i="1"/>
  <c r="S19" i="1"/>
  <c r="S18" i="1"/>
  <c r="S17" i="1"/>
  <c r="S16" i="1"/>
  <c r="S15" i="1"/>
  <c r="S11" i="1"/>
  <c r="S10" i="1"/>
  <c r="S9" i="1"/>
  <c r="S8" i="1"/>
  <c r="S7" i="1"/>
  <c r="S6" i="1"/>
  <c r="S5" i="1"/>
  <c r="S4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5" i="1"/>
  <c r="L124" i="1"/>
  <c r="L123" i="1"/>
  <c r="L122" i="1"/>
  <c r="L121" i="1"/>
  <c r="L120" i="1"/>
  <c r="L119" i="1"/>
  <c r="L115" i="1"/>
  <c r="L114" i="1"/>
  <c r="L113" i="1"/>
  <c r="L112" i="1"/>
  <c r="L111" i="1"/>
  <c r="L110" i="1"/>
  <c r="L109" i="1"/>
  <c r="L105" i="1"/>
  <c r="L104" i="1"/>
  <c r="L103" i="1"/>
  <c r="L102" i="1"/>
  <c r="L101" i="1"/>
  <c r="L100" i="1"/>
  <c r="L99" i="1"/>
  <c r="L95" i="1"/>
  <c r="L94" i="1"/>
  <c r="L93" i="1"/>
  <c r="L92" i="1"/>
  <c r="L91" i="1"/>
  <c r="L90" i="1"/>
  <c r="L89" i="1"/>
  <c r="L88" i="1"/>
  <c r="L87" i="1"/>
  <c r="L83" i="1"/>
  <c r="L82" i="1"/>
  <c r="L81" i="1"/>
  <c r="L80" i="1"/>
  <c r="L79" i="1"/>
  <c r="L78" i="1"/>
  <c r="L77" i="1"/>
  <c r="L76" i="1"/>
  <c r="L75" i="1"/>
  <c r="L74" i="1"/>
  <c r="L73" i="1"/>
  <c r="L72" i="1"/>
  <c r="L68" i="1"/>
  <c r="L67" i="1"/>
  <c r="L66" i="1"/>
  <c r="L65" i="1"/>
  <c r="L64" i="1"/>
  <c r="L63" i="1"/>
  <c r="L62" i="1"/>
  <c r="L58" i="1"/>
  <c r="L57" i="1"/>
  <c r="L56" i="1"/>
  <c r="L55" i="1"/>
  <c r="L54" i="1"/>
  <c r="L53" i="1"/>
  <c r="L52" i="1"/>
  <c r="L51" i="1"/>
  <c r="L50" i="1"/>
  <c r="L46" i="1"/>
  <c r="L45" i="1"/>
  <c r="L44" i="1"/>
  <c r="L43" i="1"/>
  <c r="L42" i="1"/>
  <c r="L41" i="1"/>
  <c r="L40" i="1"/>
  <c r="L36" i="1"/>
  <c r="L35" i="1"/>
  <c r="L34" i="1"/>
  <c r="L33" i="1"/>
  <c r="L32" i="1"/>
  <c r="L31" i="1"/>
  <c r="L30" i="1"/>
  <c r="L29" i="1"/>
  <c r="L28" i="1"/>
  <c r="L27" i="1"/>
  <c r="L23" i="1"/>
  <c r="L22" i="1"/>
  <c r="L21" i="1"/>
  <c r="L20" i="1"/>
  <c r="L19" i="1"/>
  <c r="L18" i="1"/>
  <c r="L17" i="1"/>
  <c r="L16" i="1"/>
  <c r="L15" i="1"/>
  <c r="L11" i="1"/>
  <c r="L10" i="1"/>
  <c r="L9" i="1"/>
  <c r="L8" i="1"/>
  <c r="L7" i="1"/>
  <c r="L6" i="1"/>
  <c r="L5" i="1"/>
  <c r="L4" i="1"/>
  <c r="L106" i="1" l="1"/>
  <c r="L116" i="1"/>
  <c r="T130" i="1"/>
  <c r="T131" i="1"/>
  <c r="T132" i="1"/>
  <c r="T133" i="1"/>
  <c r="T134" i="1"/>
  <c r="T135" i="1"/>
  <c r="T136" i="1"/>
  <c r="T137" i="1"/>
  <c r="T138" i="1"/>
  <c r="T139" i="1"/>
  <c r="T140" i="1"/>
  <c r="T129" i="1"/>
  <c r="T120" i="1"/>
  <c r="T121" i="1"/>
  <c r="T122" i="1"/>
  <c r="T123" i="1"/>
  <c r="T124" i="1"/>
  <c r="T125" i="1"/>
  <c r="T119" i="1"/>
  <c r="T110" i="1"/>
  <c r="T111" i="1"/>
  <c r="T112" i="1"/>
  <c r="T113" i="1"/>
  <c r="T114" i="1"/>
  <c r="T115" i="1"/>
  <c r="T109" i="1"/>
  <c r="T99" i="1"/>
  <c r="T100" i="1"/>
  <c r="T101" i="1"/>
  <c r="T102" i="1"/>
  <c r="T103" i="1"/>
  <c r="T104" i="1"/>
  <c r="T105" i="1"/>
  <c r="T88" i="1"/>
  <c r="T89" i="1"/>
  <c r="T90" i="1"/>
  <c r="T91" i="1"/>
  <c r="T92" i="1"/>
  <c r="T93" i="1"/>
  <c r="T94" i="1"/>
  <c r="T95" i="1"/>
  <c r="T87" i="1"/>
  <c r="T73" i="1"/>
  <c r="T74" i="1"/>
  <c r="T75" i="1"/>
  <c r="T76" i="1"/>
  <c r="T77" i="1"/>
  <c r="T78" i="1"/>
  <c r="T79" i="1"/>
  <c r="T80" i="1"/>
  <c r="T81" i="1"/>
  <c r="T82" i="1"/>
  <c r="T83" i="1"/>
  <c r="T72" i="1"/>
  <c r="T63" i="1"/>
  <c r="T64" i="1"/>
  <c r="T65" i="1"/>
  <c r="T66" i="1"/>
  <c r="T67" i="1"/>
  <c r="T68" i="1"/>
  <c r="T62" i="1"/>
  <c r="T51" i="1"/>
  <c r="T52" i="1"/>
  <c r="T53" i="1"/>
  <c r="T54" i="1"/>
  <c r="T55" i="1"/>
  <c r="T56" i="1"/>
  <c r="T57" i="1"/>
  <c r="T58" i="1"/>
  <c r="T50" i="1"/>
  <c r="T41" i="1"/>
  <c r="T42" i="1"/>
  <c r="T43" i="1"/>
  <c r="T44" i="1"/>
  <c r="T45" i="1"/>
  <c r="T46" i="1"/>
  <c r="T40" i="1"/>
  <c r="T28" i="1"/>
  <c r="T29" i="1"/>
  <c r="T30" i="1"/>
  <c r="T31" i="1"/>
  <c r="T32" i="1"/>
  <c r="T33" i="1"/>
  <c r="T34" i="1"/>
  <c r="T35" i="1"/>
  <c r="T36" i="1"/>
  <c r="T27" i="1"/>
  <c r="T16" i="1"/>
  <c r="T17" i="1"/>
  <c r="T18" i="1"/>
  <c r="T19" i="1"/>
  <c r="T20" i="1"/>
  <c r="T21" i="1"/>
  <c r="T22" i="1"/>
  <c r="T23" i="1"/>
  <c r="T15" i="1"/>
  <c r="T5" i="1"/>
  <c r="T6" i="1"/>
  <c r="T7" i="1"/>
  <c r="T8" i="1"/>
  <c r="T9" i="1"/>
  <c r="T10" i="1"/>
  <c r="T11" i="1"/>
  <c r="T4" i="1"/>
  <c r="L141" i="1"/>
  <c r="L126" i="1"/>
  <c r="L96" i="1"/>
  <c r="L84" i="1"/>
  <c r="L69" i="1"/>
  <c r="L59" i="1"/>
  <c r="L47" i="1"/>
  <c r="L37" i="1"/>
  <c r="L24" i="1"/>
  <c r="L12" i="1"/>
  <c r="E87" i="1"/>
  <c r="E103" i="1"/>
  <c r="F103" i="1"/>
  <c r="F4" i="1"/>
  <c r="F8" i="1"/>
  <c r="F10" i="1" l="1"/>
  <c r="BG131" i="1" l="1"/>
  <c r="F140" i="1" l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5" i="1"/>
  <c r="E124" i="1"/>
  <c r="E123" i="1"/>
  <c r="E122" i="1"/>
  <c r="E121" i="1"/>
  <c r="E120" i="1"/>
  <c r="E119" i="1"/>
  <c r="E115" i="1"/>
  <c r="E114" i="1"/>
  <c r="E113" i="1"/>
  <c r="E112" i="1"/>
  <c r="E111" i="1"/>
  <c r="E110" i="1"/>
  <c r="E109" i="1"/>
  <c r="E105" i="1"/>
  <c r="E104" i="1"/>
  <c r="E102" i="1"/>
  <c r="E101" i="1"/>
  <c r="E100" i="1"/>
  <c r="E99" i="1"/>
  <c r="E95" i="1"/>
  <c r="E94" i="1"/>
  <c r="E93" i="1"/>
  <c r="E92" i="1"/>
  <c r="E91" i="1"/>
  <c r="E90" i="1"/>
  <c r="E89" i="1"/>
  <c r="E88" i="1"/>
  <c r="E83" i="1"/>
  <c r="E82" i="1"/>
  <c r="E81" i="1"/>
  <c r="E80" i="1"/>
  <c r="E79" i="1"/>
  <c r="E78" i="1"/>
  <c r="E77" i="1"/>
  <c r="E76" i="1"/>
  <c r="E75" i="1"/>
  <c r="E74" i="1"/>
  <c r="E73" i="1"/>
  <c r="E72" i="1"/>
  <c r="E68" i="1"/>
  <c r="E67" i="1"/>
  <c r="E66" i="1"/>
  <c r="E65" i="1"/>
  <c r="E64" i="1"/>
  <c r="E63" i="1"/>
  <c r="E62" i="1"/>
  <c r="F63" i="1"/>
  <c r="F64" i="1"/>
  <c r="F65" i="1"/>
  <c r="F66" i="1"/>
  <c r="F67" i="1"/>
  <c r="F68" i="1"/>
  <c r="E58" i="1"/>
  <c r="E57" i="1"/>
  <c r="E56" i="1"/>
  <c r="E55" i="1"/>
  <c r="E54" i="1"/>
  <c r="E53" i="1"/>
  <c r="E52" i="1"/>
  <c r="E51" i="1"/>
  <c r="E50" i="1"/>
  <c r="E46" i="1"/>
  <c r="E45" i="1"/>
  <c r="E44" i="1"/>
  <c r="E43" i="1"/>
  <c r="E42" i="1"/>
  <c r="E41" i="1"/>
  <c r="E40" i="1"/>
  <c r="E36" i="1"/>
  <c r="E35" i="1"/>
  <c r="E34" i="1"/>
  <c r="E33" i="1"/>
  <c r="E32" i="1"/>
  <c r="E31" i="1"/>
  <c r="E30" i="1"/>
  <c r="E29" i="1"/>
  <c r="E28" i="1"/>
  <c r="E27" i="1"/>
  <c r="E23" i="1"/>
  <c r="E22" i="1"/>
  <c r="E21" i="1"/>
  <c r="E20" i="1"/>
  <c r="E19" i="1"/>
  <c r="E18" i="1"/>
  <c r="P18" i="1" s="1"/>
  <c r="E17" i="1"/>
  <c r="E16" i="1"/>
  <c r="E15" i="1"/>
  <c r="E11" i="1"/>
  <c r="E10" i="1"/>
  <c r="G10" i="1" s="1"/>
  <c r="H10" i="1" s="1" a="1"/>
  <c r="H10" i="1" s="1"/>
  <c r="E9" i="1"/>
  <c r="E8" i="1"/>
  <c r="G8" i="1" s="1"/>
  <c r="H8" i="1" s="1" a="1"/>
  <c r="H8" i="1" s="1"/>
  <c r="E7" i="1"/>
  <c r="E6" i="1"/>
  <c r="E5" i="1"/>
  <c r="F5" i="1"/>
  <c r="F6" i="1"/>
  <c r="F7" i="1"/>
  <c r="F9" i="1"/>
  <c r="F11" i="1"/>
  <c r="E4" i="1"/>
  <c r="G5" i="1" l="1"/>
  <c r="H5" i="1" s="1" a="1"/>
  <c r="H5" i="1" s="1"/>
  <c r="G6" i="1"/>
  <c r="H6" i="1" s="1" a="1"/>
  <c r="H6" i="1" s="1"/>
  <c r="G7" i="1"/>
  <c r="H7" i="1" s="1" a="1"/>
  <c r="H7" i="1" s="1"/>
  <c r="G9" i="1"/>
  <c r="H9" i="1" s="1" a="1"/>
  <c r="H9" i="1" s="1"/>
  <c r="G11" i="1"/>
  <c r="H11" i="1" s="1" a="1"/>
  <c r="H11" i="1" s="1"/>
  <c r="AG140" i="1" l="1"/>
  <c r="AC140" i="1"/>
  <c r="AD140" i="1" s="1" a="1"/>
  <c r="AD140" i="1" s="1"/>
  <c r="AA140" i="1"/>
  <c r="AB140" i="1" s="1" a="1"/>
  <c r="AB140" i="1" s="1"/>
  <c r="AG139" i="1"/>
  <c r="AH139" i="1" s="1" a="1"/>
  <c r="AH139" i="1" s="1"/>
  <c r="AC139" i="1"/>
  <c r="AD139" i="1" s="1" a="1"/>
  <c r="AD139" i="1" s="1"/>
  <c r="AA139" i="1"/>
  <c r="AB139" i="1" s="1" a="1"/>
  <c r="AB139" i="1" s="1"/>
  <c r="AG138" i="1"/>
  <c r="AH138" i="1" s="1" a="1"/>
  <c r="AH138" i="1" s="1"/>
  <c r="AC138" i="1"/>
  <c r="AD138" i="1" s="1" a="1"/>
  <c r="AD138" i="1" s="1"/>
  <c r="AA138" i="1"/>
  <c r="AB138" i="1" s="1" a="1"/>
  <c r="AB138" i="1" s="1"/>
  <c r="AG137" i="1"/>
  <c r="AH137" i="1" s="1" a="1"/>
  <c r="AH137" i="1" s="1"/>
  <c r="AC137" i="1"/>
  <c r="AD137" i="1" s="1" a="1"/>
  <c r="AD137" i="1" s="1"/>
  <c r="AA137" i="1"/>
  <c r="AB137" i="1" s="1" a="1"/>
  <c r="AB137" i="1" s="1"/>
  <c r="AG136" i="1"/>
  <c r="AC136" i="1"/>
  <c r="AA136" i="1"/>
  <c r="AB136" i="1" s="1" a="1"/>
  <c r="AB136" i="1" s="1"/>
  <c r="AG135" i="1"/>
  <c r="AH135" i="1" s="1" a="1"/>
  <c r="AH135" i="1" s="1"/>
  <c r="AC135" i="1"/>
  <c r="AD135" i="1" s="1" a="1"/>
  <c r="AD135" i="1" s="1"/>
  <c r="AA135" i="1"/>
  <c r="AB135" i="1" s="1" a="1"/>
  <c r="AB135" i="1" s="1"/>
  <c r="AG134" i="1"/>
  <c r="AH134" i="1" s="1" a="1"/>
  <c r="AH134" i="1" s="1"/>
  <c r="AC134" i="1"/>
  <c r="AD134" i="1" s="1" a="1"/>
  <c r="AD134" i="1" s="1"/>
  <c r="AA134" i="1"/>
  <c r="AB134" i="1" s="1" a="1"/>
  <c r="AB134" i="1" s="1"/>
  <c r="AG133" i="1"/>
  <c r="AH133" i="1" s="1" a="1"/>
  <c r="AH133" i="1" s="1"/>
  <c r="AC133" i="1"/>
  <c r="AD133" i="1" s="1" a="1"/>
  <c r="AD133" i="1" s="1"/>
  <c r="AA133" i="1"/>
  <c r="AB133" i="1" s="1" a="1"/>
  <c r="AB133" i="1" s="1"/>
  <c r="AG132" i="1"/>
  <c r="AC132" i="1"/>
  <c r="AA132" i="1"/>
  <c r="AB132" i="1" s="1" a="1"/>
  <c r="AB132" i="1" s="1"/>
  <c r="AG131" i="1"/>
  <c r="AH131" i="1" s="1" a="1"/>
  <c r="AH131" i="1" s="1"/>
  <c r="AC131" i="1"/>
  <c r="AD131" i="1" s="1" a="1"/>
  <c r="AD131" i="1" s="1"/>
  <c r="AA131" i="1"/>
  <c r="AB131" i="1" s="1" a="1"/>
  <c r="AB131" i="1" s="1"/>
  <c r="AG130" i="1"/>
  <c r="AH130" i="1" s="1" a="1"/>
  <c r="AH130" i="1" s="1"/>
  <c r="AC130" i="1"/>
  <c r="AD130" i="1" s="1" a="1"/>
  <c r="AD130" i="1" s="1"/>
  <c r="AA130" i="1"/>
  <c r="AB130" i="1" s="1" a="1"/>
  <c r="AB130" i="1" s="1"/>
  <c r="AG129" i="1"/>
  <c r="AH129" i="1" s="1" a="1"/>
  <c r="AH129" i="1" s="1"/>
  <c r="AC129" i="1"/>
  <c r="AD129" i="1" s="1" a="1"/>
  <c r="AD129" i="1" s="1"/>
  <c r="AA129" i="1"/>
  <c r="AB129" i="1" s="1" a="1"/>
  <c r="AB129" i="1" s="1"/>
  <c r="AG125" i="1"/>
  <c r="AH125" i="1" s="1" a="1"/>
  <c r="AH125" i="1" s="1"/>
  <c r="AC125" i="1"/>
  <c r="AA125" i="1"/>
  <c r="AB125" i="1" s="1" a="1"/>
  <c r="AB125" i="1" s="1"/>
  <c r="AG124" i="1"/>
  <c r="AH124" i="1" s="1" a="1"/>
  <c r="AH124" i="1" s="1"/>
  <c r="AC124" i="1"/>
  <c r="AD124" i="1" s="1" a="1"/>
  <c r="AD124" i="1" s="1"/>
  <c r="AA124" i="1"/>
  <c r="AB124" i="1" s="1" a="1"/>
  <c r="AB124" i="1" s="1"/>
  <c r="AG123" i="1"/>
  <c r="AH123" i="1" s="1" a="1"/>
  <c r="AH123" i="1" s="1"/>
  <c r="AC123" i="1"/>
  <c r="AD123" i="1" s="1" a="1"/>
  <c r="AD123" i="1" s="1"/>
  <c r="AA123" i="1"/>
  <c r="AB123" i="1" s="1" a="1"/>
  <c r="AB123" i="1" s="1"/>
  <c r="AG122" i="1"/>
  <c r="AH122" i="1" s="1" a="1"/>
  <c r="AH122" i="1" s="1"/>
  <c r="AC122" i="1"/>
  <c r="AD122" i="1" s="1" a="1"/>
  <c r="AD122" i="1" s="1"/>
  <c r="AA122" i="1"/>
  <c r="AB122" i="1" s="1" a="1"/>
  <c r="AB122" i="1" s="1"/>
  <c r="AG121" i="1"/>
  <c r="AH121" i="1" s="1" a="1"/>
  <c r="AH121" i="1" s="1"/>
  <c r="AC121" i="1"/>
  <c r="AA121" i="1"/>
  <c r="AB121" i="1" s="1" a="1"/>
  <c r="AB121" i="1" s="1"/>
  <c r="AG120" i="1"/>
  <c r="AH120" i="1" s="1" a="1"/>
  <c r="AH120" i="1" s="1"/>
  <c r="AC120" i="1"/>
  <c r="AD120" i="1" s="1" a="1"/>
  <c r="AD120" i="1" s="1"/>
  <c r="AA120" i="1"/>
  <c r="AB120" i="1" s="1" a="1"/>
  <c r="AB120" i="1" s="1"/>
  <c r="AG119" i="1"/>
  <c r="AH119" i="1" s="1" a="1"/>
  <c r="AH119" i="1" s="1"/>
  <c r="AC119" i="1"/>
  <c r="AD119" i="1" s="1" a="1"/>
  <c r="AD119" i="1" s="1"/>
  <c r="AA119" i="1"/>
  <c r="AB119" i="1" s="1" a="1"/>
  <c r="AB119" i="1" s="1"/>
  <c r="AG115" i="1"/>
  <c r="AH115" i="1" s="1" a="1"/>
  <c r="AH115" i="1" s="1"/>
  <c r="AC115" i="1"/>
  <c r="AD115" i="1" s="1" a="1"/>
  <c r="AD115" i="1" s="1"/>
  <c r="AA115" i="1"/>
  <c r="AB115" i="1" s="1" a="1"/>
  <c r="AB115" i="1" s="1"/>
  <c r="AG114" i="1"/>
  <c r="AH114" i="1" s="1" a="1"/>
  <c r="AH114" i="1" s="1"/>
  <c r="AC114" i="1"/>
  <c r="AA114" i="1"/>
  <c r="AB114" i="1" s="1" a="1"/>
  <c r="AB114" i="1" s="1"/>
  <c r="AG113" i="1"/>
  <c r="AH113" i="1" s="1" a="1"/>
  <c r="AH113" i="1" s="1"/>
  <c r="AC113" i="1"/>
  <c r="AD113" i="1" s="1" a="1"/>
  <c r="AD113" i="1" s="1"/>
  <c r="AA113" i="1"/>
  <c r="AB113" i="1" s="1" a="1"/>
  <c r="AB113" i="1" s="1"/>
  <c r="AG112" i="1"/>
  <c r="AH112" i="1" s="1" a="1"/>
  <c r="AH112" i="1" s="1"/>
  <c r="AC112" i="1"/>
  <c r="AD112" i="1" s="1" a="1"/>
  <c r="AD112" i="1" s="1"/>
  <c r="AA112" i="1"/>
  <c r="AB112" i="1" s="1" a="1"/>
  <c r="AB112" i="1" s="1"/>
  <c r="AG111" i="1"/>
  <c r="AH111" i="1" s="1" a="1"/>
  <c r="AH111" i="1" s="1"/>
  <c r="AC111" i="1"/>
  <c r="AD111" i="1" s="1" a="1"/>
  <c r="AD111" i="1" s="1"/>
  <c r="AA111" i="1"/>
  <c r="AB111" i="1" s="1" a="1"/>
  <c r="AB111" i="1" s="1"/>
  <c r="AG110" i="1"/>
  <c r="AH110" i="1" s="1" a="1"/>
  <c r="AH110" i="1" s="1"/>
  <c r="AC110" i="1"/>
  <c r="AD110" i="1" s="1" a="1"/>
  <c r="AD110" i="1" s="1"/>
  <c r="AA110" i="1"/>
  <c r="AB110" i="1" s="1" a="1"/>
  <c r="AB110" i="1" s="1"/>
  <c r="AG109" i="1"/>
  <c r="AH109" i="1" s="1" a="1"/>
  <c r="AH109" i="1" s="1"/>
  <c r="AC109" i="1"/>
  <c r="AD109" i="1" s="1" a="1"/>
  <c r="AD109" i="1" s="1"/>
  <c r="AA109" i="1"/>
  <c r="AB109" i="1" s="1" a="1"/>
  <c r="AB109" i="1" s="1"/>
  <c r="AG105" i="1"/>
  <c r="AH105" i="1" s="1" a="1"/>
  <c r="AH105" i="1" s="1"/>
  <c r="AC105" i="1"/>
  <c r="AD105" i="1" s="1" a="1"/>
  <c r="AD105" i="1" s="1"/>
  <c r="AA105" i="1"/>
  <c r="AB105" i="1" s="1" a="1"/>
  <c r="AB105" i="1" s="1"/>
  <c r="AG104" i="1"/>
  <c r="AH104" i="1" s="1" a="1"/>
  <c r="AH104" i="1" s="1"/>
  <c r="AC104" i="1"/>
  <c r="AD104" i="1" s="1" a="1"/>
  <c r="AD104" i="1" s="1"/>
  <c r="AA104" i="1"/>
  <c r="AB104" i="1" s="1" a="1"/>
  <c r="AB104" i="1" s="1"/>
  <c r="AG103" i="1"/>
  <c r="AH103" i="1" s="1" a="1"/>
  <c r="AH103" i="1" s="1"/>
  <c r="AC103" i="1"/>
  <c r="AD103" i="1" s="1" a="1"/>
  <c r="AD103" i="1" s="1"/>
  <c r="AA103" i="1"/>
  <c r="AB103" i="1" s="1" a="1"/>
  <c r="AB103" i="1" s="1"/>
  <c r="AG102" i="1"/>
  <c r="AH102" i="1" s="1" a="1"/>
  <c r="AH102" i="1" s="1"/>
  <c r="AC102" i="1"/>
  <c r="AD102" i="1" s="1" a="1"/>
  <c r="AD102" i="1" s="1"/>
  <c r="AA102" i="1"/>
  <c r="AB102" i="1" s="1" a="1"/>
  <c r="AB102" i="1" s="1"/>
  <c r="AG101" i="1"/>
  <c r="AH101" i="1" s="1" a="1"/>
  <c r="AH101" i="1" s="1"/>
  <c r="AC101" i="1"/>
  <c r="AD101" i="1" s="1" a="1"/>
  <c r="AD101" i="1" s="1"/>
  <c r="AA101" i="1"/>
  <c r="AB101" i="1" s="1" a="1"/>
  <c r="AB101" i="1" s="1"/>
  <c r="AG100" i="1"/>
  <c r="AH100" i="1" s="1" a="1"/>
  <c r="AH100" i="1" s="1"/>
  <c r="AC100" i="1"/>
  <c r="AD100" i="1" s="1" a="1"/>
  <c r="AD100" i="1" s="1"/>
  <c r="AA100" i="1"/>
  <c r="AB100" i="1" s="1" a="1"/>
  <c r="AB100" i="1" s="1"/>
  <c r="AG99" i="1"/>
  <c r="AH99" i="1" s="1" a="1"/>
  <c r="AH99" i="1" s="1"/>
  <c r="AC99" i="1"/>
  <c r="AD99" i="1" s="1" a="1"/>
  <c r="AD99" i="1" s="1"/>
  <c r="AA99" i="1"/>
  <c r="AB99" i="1" s="1" a="1"/>
  <c r="AB99" i="1" s="1"/>
  <c r="AG95" i="1"/>
  <c r="AH95" i="1" s="1" a="1"/>
  <c r="AH95" i="1" s="1"/>
  <c r="AC95" i="1"/>
  <c r="AD95" i="1" s="1" a="1"/>
  <c r="AD95" i="1" s="1"/>
  <c r="AA95" i="1"/>
  <c r="AB95" i="1" s="1" a="1"/>
  <c r="AB95" i="1" s="1"/>
  <c r="AG94" i="1"/>
  <c r="AH94" i="1" s="1" a="1"/>
  <c r="AH94" i="1" s="1"/>
  <c r="AC94" i="1"/>
  <c r="AD94" i="1" s="1" a="1"/>
  <c r="AD94" i="1" s="1"/>
  <c r="AA94" i="1"/>
  <c r="AB94" i="1" s="1" a="1"/>
  <c r="AB94" i="1" s="1"/>
  <c r="AG93" i="1"/>
  <c r="AH93" i="1" s="1" a="1"/>
  <c r="AH93" i="1" s="1"/>
  <c r="AC93" i="1"/>
  <c r="AD93" i="1" s="1" a="1"/>
  <c r="AD93" i="1" s="1"/>
  <c r="AA93" i="1"/>
  <c r="AB93" i="1" s="1" a="1"/>
  <c r="AB93" i="1" s="1"/>
  <c r="AG92" i="1"/>
  <c r="AH92" i="1" s="1" a="1"/>
  <c r="AH92" i="1" s="1"/>
  <c r="AC92" i="1"/>
  <c r="AD92" i="1" s="1" a="1"/>
  <c r="AD92" i="1" s="1"/>
  <c r="AA92" i="1"/>
  <c r="AB92" i="1" s="1" a="1"/>
  <c r="AB92" i="1" s="1"/>
  <c r="AG91" i="1"/>
  <c r="AH91" i="1" s="1" a="1"/>
  <c r="AH91" i="1" s="1"/>
  <c r="AC91" i="1"/>
  <c r="AD91" i="1" s="1" a="1"/>
  <c r="AD91" i="1" s="1"/>
  <c r="AA91" i="1"/>
  <c r="AB91" i="1" s="1" a="1"/>
  <c r="AB91" i="1" s="1"/>
  <c r="AG90" i="1"/>
  <c r="AH90" i="1" s="1" a="1"/>
  <c r="AH90" i="1" s="1"/>
  <c r="AC90" i="1"/>
  <c r="AD90" i="1" s="1" a="1"/>
  <c r="AD90" i="1" s="1"/>
  <c r="AA90" i="1"/>
  <c r="AB90" i="1" s="1" a="1"/>
  <c r="AB90" i="1" s="1"/>
  <c r="AG89" i="1"/>
  <c r="AH89" i="1" s="1" a="1"/>
  <c r="AH89" i="1" s="1"/>
  <c r="AC89" i="1"/>
  <c r="AD89" i="1" s="1" a="1"/>
  <c r="AD89" i="1" s="1"/>
  <c r="AA89" i="1"/>
  <c r="AB89" i="1" s="1" a="1"/>
  <c r="AB89" i="1" s="1"/>
  <c r="AG88" i="1"/>
  <c r="AH88" i="1" s="1" a="1"/>
  <c r="AH88" i="1" s="1"/>
  <c r="AC88" i="1"/>
  <c r="AD88" i="1" s="1" a="1"/>
  <c r="AD88" i="1" s="1"/>
  <c r="AA88" i="1"/>
  <c r="AB88" i="1" s="1" a="1"/>
  <c r="AB88" i="1" s="1"/>
  <c r="AG87" i="1"/>
  <c r="AH87" i="1" s="1" a="1"/>
  <c r="AH87" i="1" s="1"/>
  <c r="AC87" i="1"/>
  <c r="AD87" i="1" s="1" a="1"/>
  <c r="AD87" i="1" s="1"/>
  <c r="AA87" i="1"/>
  <c r="AB87" i="1" s="1" a="1"/>
  <c r="AB87" i="1" s="1"/>
  <c r="AA83" i="1"/>
  <c r="AB83" i="1" s="1" a="1"/>
  <c r="AB83" i="1" s="1"/>
  <c r="AC83" i="1"/>
  <c r="AD83" i="1" s="1" a="1"/>
  <c r="AD83" i="1" s="1"/>
  <c r="AG83" i="1"/>
  <c r="AH83" i="1" s="1" a="1"/>
  <c r="AH83" i="1" s="1"/>
  <c r="AA82" i="1"/>
  <c r="AB82" i="1" s="1" a="1"/>
  <c r="AB82" i="1" s="1"/>
  <c r="AC82" i="1"/>
  <c r="AD82" i="1" s="1" a="1"/>
  <c r="AD82" i="1" s="1"/>
  <c r="AG82" i="1"/>
  <c r="AH82" i="1" s="1" a="1"/>
  <c r="AH82" i="1" s="1"/>
  <c r="AA81" i="1"/>
  <c r="AB81" i="1" s="1" a="1"/>
  <c r="AB81" i="1" s="1"/>
  <c r="AC81" i="1"/>
  <c r="AD81" i="1" s="1" a="1"/>
  <c r="AD81" i="1" s="1"/>
  <c r="AG81" i="1"/>
  <c r="AH81" i="1" s="1" a="1"/>
  <c r="AH81" i="1" s="1"/>
  <c r="AA80" i="1"/>
  <c r="AB80" i="1" s="1" a="1"/>
  <c r="AB80" i="1" s="1"/>
  <c r="AC80" i="1"/>
  <c r="AD80" i="1" s="1" a="1"/>
  <c r="AD80" i="1" s="1"/>
  <c r="AG80" i="1"/>
  <c r="AH80" i="1" s="1" a="1"/>
  <c r="AH80" i="1" s="1"/>
  <c r="AA79" i="1"/>
  <c r="AB79" i="1" s="1" a="1"/>
  <c r="AB79" i="1" s="1"/>
  <c r="AC79" i="1"/>
  <c r="AD79" i="1" s="1" a="1"/>
  <c r="AD79" i="1" s="1"/>
  <c r="AG79" i="1"/>
  <c r="AH79" i="1" s="1" a="1"/>
  <c r="AH79" i="1" s="1"/>
  <c r="AA78" i="1"/>
  <c r="AB78" i="1" s="1" a="1"/>
  <c r="AB78" i="1" s="1"/>
  <c r="AC78" i="1"/>
  <c r="AD78" i="1" s="1" a="1"/>
  <c r="AD78" i="1" s="1"/>
  <c r="AG78" i="1"/>
  <c r="AH78" i="1" s="1" a="1"/>
  <c r="AH78" i="1" s="1"/>
  <c r="AA77" i="1"/>
  <c r="AB77" i="1" s="1" a="1"/>
  <c r="AB77" i="1" s="1"/>
  <c r="AC77" i="1"/>
  <c r="AD77" i="1" s="1" a="1"/>
  <c r="AD77" i="1" s="1"/>
  <c r="AG77" i="1"/>
  <c r="AH77" i="1" s="1" a="1"/>
  <c r="AH77" i="1" s="1"/>
  <c r="AA76" i="1"/>
  <c r="AB76" i="1" s="1" a="1"/>
  <c r="AB76" i="1" s="1"/>
  <c r="AC76" i="1"/>
  <c r="AD76" i="1" s="1" a="1"/>
  <c r="AD76" i="1" s="1"/>
  <c r="AG76" i="1"/>
  <c r="AH76" i="1" s="1" a="1"/>
  <c r="AH76" i="1" s="1"/>
  <c r="AA75" i="1"/>
  <c r="AB75" i="1" s="1" a="1"/>
  <c r="AB75" i="1" s="1"/>
  <c r="AC75" i="1"/>
  <c r="AD75" i="1" s="1" a="1"/>
  <c r="AD75" i="1" s="1"/>
  <c r="AG75" i="1"/>
  <c r="AH75" i="1" s="1" a="1"/>
  <c r="AH75" i="1" s="1"/>
  <c r="AA74" i="1"/>
  <c r="AB74" i="1" s="1" a="1"/>
  <c r="AB74" i="1" s="1"/>
  <c r="AC74" i="1"/>
  <c r="AD74" i="1" s="1" a="1"/>
  <c r="AD74" i="1" s="1"/>
  <c r="AG74" i="1"/>
  <c r="AH74" i="1" s="1" a="1"/>
  <c r="AH74" i="1" s="1"/>
  <c r="AA73" i="1"/>
  <c r="AB73" i="1" s="1" a="1"/>
  <c r="AB73" i="1" s="1"/>
  <c r="AC73" i="1"/>
  <c r="AD73" i="1" s="1" a="1"/>
  <c r="AD73" i="1" s="1"/>
  <c r="AG73" i="1"/>
  <c r="AH73" i="1" s="1" a="1"/>
  <c r="AH73" i="1" s="1"/>
  <c r="AA72" i="1"/>
  <c r="AB72" i="1" s="1" a="1"/>
  <c r="AB72" i="1" s="1"/>
  <c r="AC72" i="1"/>
  <c r="AD72" i="1" s="1" a="1"/>
  <c r="AD72" i="1" s="1"/>
  <c r="AG72" i="1"/>
  <c r="AH72" i="1" s="1" a="1"/>
  <c r="AH72" i="1" s="1"/>
  <c r="AA68" i="1"/>
  <c r="AB68" i="1" s="1" a="1"/>
  <c r="AB68" i="1" s="1"/>
  <c r="AC68" i="1"/>
  <c r="AD68" i="1" s="1" a="1"/>
  <c r="AD68" i="1" s="1"/>
  <c r="AG68" i="1"/>
  <c r="AH68" i="1" s="1" a="1"/>
  <c r="AH68" i="1" s="1"/>
  <c r="AA67" i="1"/>
  <c r="AB67" i="1" s="1" a="1"/>
  <c r="AB67" i="1" s="1"/>
  <c r="AC67" i="1"/>
  <c r="AD67" i="1" s="1" a="1"/>
  <c r="AD67" i="1" s="1"/>
  <c r="AG67" i="1"/>
  <c r="AH67" i="1" s="1" a="1"/>
  <c r="AH67" i="1" s="1"/>
  <c r="AA66" i="1"/>
  <c r="AB66" i="1" s="1" a="1"/>
  <c r="AB66" i="1" s="1"/>
  <c r="AC66" i="1"/>
  <c r="AD66" i="1" s="1" a="1"/>
  <c r="AD66" i="1" s="1"/>
  <c r="AG66" i="1"/>
  <c r="AH66" i="1" s="1" a="1"/>
  <c r="AH66" i="1" s="1"/>
  <c r="AA65" i="1"/>
  <c r="AB65" i="1" s="1" a="1"/>
  <c r="AB65" i="1" s="1"/>
  <c r="AC65" i="1"/>
  <c r="AD65" i="1" s="1" a="1"/>
  <c r="AD65" i="1" s="1"/>
  <c r="AG65" i="1"/>
  <c r="AH65" i="1" s="1" a="1"/>
  <c r="AH65" i="1" s="1"/>
  <c r="AG64" i="1"/>
  <c r="AH64" i="1" s="1" a="1"/>
  <c r="AH64" i="1" s="1"/>
  <c r="AA64" i="1"/>
  <c r="AB64" i="1" s="1" a="1"/>
  <c r="AB64" i="1" s="1"/>
  <c r="AC64" i="1"/>
  <c r="AD64" i="1" s="1" a="1"/>
  <c r="AD64" i="1" s="1"/>
  <c r="AE64" i="1"/>
  <c r="AF64" i="1" s="1" a="1"/>
  <c r="AF64" i="1" s="1"/>
  <c r="AA63" i="1"/>
  <c r="AB63" i="1" s="1" a="1"/>
  <c r="AB63" i="1" s="1"/>
  <c r="AC63" i="1"/>
  <c r="AD63" i="1" s="1" a="1"/>
  <c r="AD63" i="1" s="1"/>
  <c r="AG63" i="1"/>
  <c r="AH63" i="1" s="1" a="1"/>
  <c r="AH63" i="1" s="1"/>
  <c r="AE63" i="1"/>
  <c r="AF63" i="1" s="1" a="1"/>
  <c r="AF63" i="1" s="1"/>
  <c r="AG62" i="1"/>
  <c r="AH62" i="1" s="1" a="1"/>
  <c r="AH62" i="1" s="1"/>
  <c r="AC62" i="1"/>
  <c r="AD62" i="1" s="1" a="1"/>
  <c r="AD62" i="1" s="1"/>
  <c r="AA62" i="1"/>
  <c r="AB62" i="1" s="1" a="1"/>
  <c r="AB62" i="1" s="1"/>
  <c r="AG58" i="1"/>
  <c r="AH58" i="1" s="1" a="1"/>
  <c r="AH58" i="1" s="1"/>
  <c r="AC58" i="1"/>
  <c r="AD58" i="1" s="1" a="1"/>
  <c r="AD58" i="1" s="1"/>
  <c r="AA58" i="1"/>
  <c r="AB58" i="1" s="1" a="1"/>
  <c r="AB58" i="1" s="1"/>
  <c r="AG57" i="1"/>
  <c r="AH57" i="1" s="1" a="1"/>
  <c r="AH57" i="1" s="1"/>
  <c r="AC57" i="1"/>
  <c r="AD57" i="1" s="1" a="1"/>
  <c r="AD57" i="1" s="1"/>
  <c r="AA57" i="1"/>
  <c r="AB57" i="1" s="1" a="1"/>
  <c r="AB57" i="1" s="1"/>
  <c r="AG56" i="1"/>
  <c r="AH56" i="1" s="1" a="1"/>
  <c r="AH56" i="1" s="1"/>
  <c r="AC56" i="1"/>
  <c r="AD56" i="1" s="1" a="1"/>
  <c r="AD56" i="1" s="1"/>
  <c r="AA56" i="1"/>
  <c r="AB56" i="1" s="1" a="1"/>
  <c r="AB56" i="1" s="1"/>
  <c r="AG55" i="1"/>
  <c r="AH55" i="1" s="1" a="1"/>
  <c r="AH55" i="1" s="1"/>
  <c r="AC55" i="1"/>
  <c r="AD55" i="1" s="1" a="1"/>
  <c r="AD55" i="1" s="1"/>
  <c r="AA55" i="1"/>
  <c r="AB55" i="1" s="1" a="1"/>
  <c r="AB55" i="1" s="1"/>
  <c r="AG54" i="1"/>
  <c r="AH54" i="1" s="1" a="1"/>
  <c r="AH54" i="1" s="1"/>
  <c r="AC54" i="1"/>
  <c r="AD54" i="1" s="1" a="1"/>
  <c r="AD54" i="1" s="1"/>
  <c r="AA54" i="1"/>
  <c r="AB54" i="1" s="1" a="1"/>
  <c r="AB54" i="1" s="1"/>
  <c r="AG53" i="1"/>
  <c r="AH53" i="1" s="1" a="1"/>
  <c r="AH53" i="1" s="1"/>
  <c r="AC53" i="1"/>
  <c r="AD53" i="1" s="1" a="1"/>
  <c r="AD53" i="1" s="1"/>
  <c r="AA53" i="1"/>
  <c r="AB53" i="1" s="1" a="1"/>
  <c r="AB53" i="1" s="1"/>
  <c r="AG52" i="1"/>
  <c r="AH52" i="1" s="1" a="1"/>
  <c r="AH52" i="1" s="1"/>
  <c r="AC52" i="1"/>
  <c r="AD52" i="1" s="1" a="1"/>
  <c r="AD52" i="1" s="1"/>
  <c r="AA52" i="1"/>
  <c r="AB52" i="1" s="1" a="1"/>
  <c r="AB52" i="1" s="1"/>
  <c r="AG51" i="1"/>
  <c r="AH51" i="1" s="1" a="1"/>
  <c r="AH51" i="1" s="1"/>
  <c r="AC51" i="1"/>
  <c r="AD51" i="1" s="1" a="1"/>
  <c r="AD51" i="1" s="1"/>
  <c r="AA51" i="1"/>
  <c r="AB51" i="1" s="1" a="1"/>
  <c r="AB51" i="1" s="1"/>
  <c r="AG50" i="1"/>
  <c r="AH50" i="1" s="1" a="1"/>
  <c r="AH50" i="1" s="1"/>
  <c r="AC50" i="1"/>
  <c r="AD50" i="1" s="1" a="1"/>
  <c r="AD50" i="1" s="1"/>
  <c r="AA50" i="1"/>
  <c r="AB50" i="1" s="1" a="1"/>
  <c r="AB50" i="1" s="1"/>
  <c r="AG46" i="1"/>
  <c r="AH46" i="1" s="1" a="1"/>
  <c r="AH46" i="1" s="1"/>
  <c r="AC46" i="1"/>
  <c r="AD46" i="1" s="1" a="1"/>
  <c r="AD46" i="1" s="1"/>
  <c r="AA46" i="1"/>
  <c r="AB46" i="1" s="1" a="1"/>
  <c r="AB46" i="1" s="1"/>
  <c r="AG45" i="1"/>
  <c r="AH45" i="1" s="1" a="1"/>
  <c r="AH45" i="1" s="1"/>
  <c r="AC45" i="1"/>
  <c r="AD45" i="1" s="1" a="1"/>
  <c r="AD45" i="1" s="1"/>
  <c r="AA45" i="1"/>
  <c r="AB45" i="1" s="1" a="1"/>
  <c r="AB45" i="1" s="1"/>
  <c r="AG44" i="1"/>
  <c r="AH44" i="1" s="1" a="1"/>
  <c r="AH44" i="1" s="1"/>
  <c r="AC44" i="1"/>
  <c r="AD44" i="1" s="1" a="1"/>
  <c r="AD44" i="1" s="1"/>
  <c r="AA44" i="1"/>
  <c r="AB44" i="1" s="1" a="1"/>
  <c r="AB44" i="1" s="1"/>
  <c r="AG43" i="1"/>
  <c r="AH43" i="1" s="1" a="1"/>
  <c r="AH43" i="1" s="1"/>
  <c r="AC43" i="1"/>
  <c r="AD43" i="1" s="1" a="1"/>
  <c r="AD43" i="1" s="1"/>
  <c r="AA43" i="1"/>
  <c r="AB43" i="1" s="1" a="1"/>
  <c r="AB43" i="1" s="1"/>
  <c r="AG42" i="1"/>
  <c r="AH42" i="1" s="1" a="1"/>
  <c r="AH42" i="1" s="1"/>
  <c r="AC42" i="1"/>
  <c r="AD42" i="1" s="1" a="1"/>
  <c r="AD42" i="1" s="1"/>
  <c r="AA42" i="1"/>
  <c r="AB42" i="1" s="1" a="1"/>
  <c r="AB42" i="1" s="1"/>
  <c r="AG41" i="1"/>
  <c r="AH41" i="1" s="1" a="1"/>
  <c r="AH41" i="1" s="1"/>
  <c r="AC41" i="1"/>
  <c r="AD41" i="1" s="1" a="1"/>
  <c r="AD41" i="1" s="1"/>
  <c r="AA41" i="1"/>
  <c r="AB41" i="1" s="1" a="1"/>
  <c r="AB41" i="1" s="1"/>
  <c r="AG40" i="1"/>
  <c r="AH40" i="1" s="1" a="1"/>
  <c r="AH40" i="1" s="1"/>
  <c r="AC40" i="1"/>
  <c r="AD40" i="1" s="1" a="1"/>
  <c r="AD40" i="1" s="1"/>
  <c r="AA40" i="1"/>
  <c r="AB40" i="1" s="1" a="1"/>
  <c r="AB40" i="1" s="1"/>
  <c r="AC36" i="1"/>
  <c r="AD36" i="1" s="1" a="1"/>
  <c r="AD36" i="1" s="1"/>
  <c r="AA36" i="1"/>
  <c r="AB36" i="1" s="1" a="1"/>
  <c r="AB36" i="1" s="1"/>
  <c r="AC35" i="1"/>
  <c r="AD35" i="1" s="1" a="1"/>
  <c r="AD35" i="1" s="1"/>
  <c r="AA35" i="1"/>
  <c r="AB35" i="1" s="1" a="1"/>
  <c r="AB35" i="1" s="1"/>
  <c r="AC34" i="1"/>
  <c r="AD34" i="1" s="1" a="1"/>
  <c r="AD34" i="1" s="1"/>
  <c r="AA34" i="1"/>
  <c r="AB34" i="1" s="1" a="1"/>
  <c r="AB34" i="1" s="1"/>
  <c r="AC33" i="1"/>
  <c r="AD33" i="1" s="1" a="1"/>
  <c r="AD33" i="1" s="1"/>
  <c r="AA33" i="1"/>
  <c r="AB33" i="1" s="1" a="1"/>
  <c r="AB33" i="1" s="1"/>
  <c r="AC32" i="1"/>
  <c r="AD32" i="1" s="1" a="1"/>
  <c r="AD32" i="1" s="1"/>
  <c r="AA32" i="1"/>
  <c r="AB32" i="1" s="1" a="1"/>
  <c r="AB32" i="1" s="1"/>
  <c r="AC31" i="1"/>
  <c r="AD31" i="1" s="1" a="1"/>
  <c r="AD31" i="1" s="1"/>
  <c r="AA31" i="1"/>
  <c r="AB31" i="1" s="1" a="1"/>
  <c r="AB31" i="1" s="1"/>
  <c r="AC30" i="1"/>
  <c r="AD30" i="1" s="1" a="1"/>
  <c r="AD30" i="1" s="1"/>
  <c r="AA30" i="1"/>
  <c r="AB30" i="1" s="1" a="1"/>
  <c r="AB30" i="1" s="1"/>
  <c r="AC29" i="1"/>
  <c r="AD29" i="1" s="1" a="1"/>
  <c r="AD29" i="1" s="1"/>
  <c r="AA29" i="1"/>
  <c r="AB29" i="1" s="1" a="1"/>
  <c r="AB29" i="1" s="1"/>
  <c r="AC28" i="1"/>
  <c r="AD28" i="1" s="1" a="1"/>
  <c r="AD28" i="1" s="1"/>
  <c r="AA28" i="1"/>
  <c r="AB28" i="1" s="1" a="1"/>
  <c r="AB28" i="1" s="1"/>
  <c r="AC27" i="1"/>
  <c r="AD27" i="1" s="1" a="1"/>
  <c r="AD27" i="1" s="1"/>
  <c r="AA27" i="1"/>
  <c r="AB27" i="1" s="1" a="1"/>
  <c r="AB27" i="1" s="1"/>
  <c r="AC23" i="1"/>
  <c r="AD23" i="1" s="1" a="1"/>
  <c r="AD23" i="1" s="1"/>
  <c r="AA23" i="1"/>
  <c r="AB23" i="1" s="1" a="1"/>
  <c r="AB23" i="1" s="1"/>
  <c r="AC22" i="1"/>
  <c r="AD22" i="1" s="1" a="1"/>
  <c r="AD22" i="1" s="1"/>
  <c r="AA22" i="1"/>
  <c r="AB22" i="1" s="1" a="1"/>
  <c r="AB22" i="1" s="1"/>
  <c r="AC21" i="1"/>
  <c r="AD21" i="1" s="1" a="1"/>
  <c r="AD21" i="1" s="1"/>
  <c r="AA21" i="1"/>
  <c r="AB21" i="1" s="1" a="1"/>
  <c r="AB21" i="1" s="1"/>
  <c r="AC20" i="1"/>
  <c r="AD20" i="1" s="1" a="1"/>
  <c r="AD20" i="1" s="1"/>
  <c r="AA20" i="1"/>
  <c r="AB20" i="1" s="1" a="1"/>
  <c r="AB20" i="1" s="1"/>
  <c r="AC19" i="1"/>
  <c r="AD19" i="1" s="1" a="1"/>
  <c r="AD19" i="1" s="1"/>
  <c r="AA19" i="1"/>
  <c r="AB19" i="1" s="1" a="1"/>
  <c r="AB19" i="1" s="1"/>
  <c r="AH140" i="1" a="1"/>
  <c r="AH140" i="1" s="1"/>
  <c r="AH136" i="1" a="1"/>
  <c r="AH136" i="1" s="1"/>
  <c r="AH132" i="1" a="1"/>
  <c r="AH132" i="1" s="1"/>
  <c r="AD136" i="1" a="1"/>
  <c r="AD136" i="1" s="1"/>
  <c r="AD132" i="1" a="1"/>
  <c r="AD132" i="1" s="1"/>
  <c r="AD125" i="1" a="1"/>
  <c r="AD125" i="1" s="1"/>
  <c r="AD121" i="1" a="1"/>
  <c r="AD121" i="1" s="1"/>
  <c r="AD114" i="1" a="1"/>
  <c r="AD114" i="1" s="1"/>
  <c r="AC18" i="1"/>
  <c r="AD18" i="1" s="1" a="1"/>
  <c r="AD18" i="1" s="1"/>
  <c r="AA18" i="1"/>
  <c r="AB18" i="1" s="1" a="1"/>
  <c r="AB18" i="1" s="1"/>
  <c r="AC17" i="1"/>
  <c r="AD17" i="1" s="1" a="1"/>
  <c r="AD17" i="1" s="1"/>
  <c r="AA17" i="1"/>
  <c r="AB17" i="1" s="1" a="1"/>
  <c r="AB17" i="1" s="1"/>
  <c r="AC16" i="1"/>
  <c r="AD16" i="1" s="1" a="1"/>
  <c r="AD16" i="1" s="1"/>
  <c r="AA16" i="1"/>
  <c r="AB16" i="1" s="1" a="1"/>
  <c r="AB16" i="1" s="1"/>
  <c r="AC15" i="1"/>
  <c r="AD15" i="1" s="1" a="1"/>
  <c r="AD15" i="1" s="1"/>
  <c r="AA15" i="1"/>
  <c r="AB15" i="1" s="1" a="1"/>
  <c r="AB15" i="1" s="1"/>
  <c r="AC11" i="1"/>
  <c r="AD11" i="1" s="1" a="1"/>
  <c r="AD11" i="1" s="1"/>
  <c r="AA11" i="1"/>
  <c r="AB11" i="1" s="1" a="1"/>
  <c r="AB11" i="1" s="1"/>
  <c r="AC10" i="1"/>
  <c r="AD10" i="1" s="1" a="1"/>
  <c r="AD10" i="1" s="1"/>
  <c r="AA10" i="1"/>
  <c r="AB10" i="1" s="1" a="1"/>
  <c r="AB10" i="1" s="1"/>
  <c r="AC9" i="1"/>
  <c r="AD9" i="1" s="1" a="1"/>
  <c r="AD9" i="1" s="1"/>
  <c r="AA9" i="1"/>
  <c r="AB9" i="1" s="1" a="1"/>
  <c r="AB9" i="1" s="1"/>
  <c r="AG8" i="1"/>
  <c r="AH8" i="1" s="1" a="1"/>
  <c r="AH8" i="1" s="1"/>
  <c r="AE8" i="1"/>
  <c r="AC8" i="1"/>
  <c r="AD8" i="1" s="1" a="1"/>
  <c r="AD8" i="1" s="1"/>
  <c r="AA8" i="1"/>
  <c r="AB8" i="1" s="1" a="1"/>
  <c r="AB8" i="1" s="1"/>
  <c r="AG7" i="1"/>
  <c r="AH7" i="1" s="1" a="1"/>
  <c r="AH7" i="1" s="1"/>
  <c r="AC7" i="1"/>
  <c r="AD7" i="1" s="1" a="1"/>
  <c r="AD7" i="1" s="1"/>
  <c r="AA7" i="1"/>
  <c r="AB7" i="1" s="1" a="1"/>
  <c r="AB7" i="1" s="1"/>
  <c r="AG6" i="1"/>
  <c r="AH6" i="1" s="1" a="1"/>
  <c r="AH6" i="1" s="1"/>
  <c r="AE6" i="1"/>
  <c r="AC6" i="1"/>
  <c r="AD6" i="1" s="1" a="1"/>
  <c r="AD6" i="1" s="1"/>
  <c r="AA6" i="1"/>
  <c r="AB6" i="1" s="1" a="1"/>
  <c r="AB6" i="1" s="1"/>
  <c r="AG5" i="1"/>
  <c r="AH5" i="1" s="1" a="1"/>
  <c r="AH5" i="1" s="1"/>
  <c r="AE5" i="1"/>
  <c r="AC5" i="1"/>
  <c r="AD5" i="1" s="1" a="1"/>
  <c r="AD5" i="1" s="1"/>
  <c r="AA5" i="1"/>
  <c r="AB5" i="1" s="1" a="1"/>
  <c r="AB5" i="1" s="1"/>
  <c r="AG4" i="1"/>
  <c r="AH4" i="1" s="1" a="1"/>
  <c r="AH4" i="1" s="1"/>
  <c r="AE4" i="1"/>
  <c r="AC4" i="1"/>
  <c r="AD4" i="1" s="1" a="1"/>
  <c r="AD4" i="1" s="1"/>
  <c r="AA4" i="1"/>
  <c r="AB4" i="1" s="1" a="1"/>
  <c r="AB4" i="1" s="1"/>
  <c r="AG36" i="1"/>
  <c r="AH36" i="1" s="1" a="1"/>
  <c r="AH36" i="1" s="1"/>
  <c r="AG35" i="1"/>
  <c r="AH35" i="1" s="1" a="1"/>
  <c r="AH35" i="1" s="1"/>
  <c r="AG34" i="1"/>
  <c r="AH34" i="1" s="1" a="1"/>
  <c r="AH34" i="1" s="1"/>
  <c r="AG33" i="1"/>
  <c r="AH33" i="1" s="1" a="1"/>
  <c r="AH33" i="1" s="1"/>
  <c r="AG32" i="1"/>
  <c r="AH32" i="1" s="1" a="1"/>
  <c r="AH32" i="1" s="1"/>
  <c r="AG31" i="1"/>
  <c r="AH31" i="1" s="1" a="1"/>
  <c r="AH31" i="1" s="1"/>
  <c r="AG30" i="1"/>
  <c r="AH30" i="1" s="1" a="1"/>
  <c r="AH30" i="1" s="1"/>
  <c r="AG29" i="1"/>
  <c r="AH29" i="1" s="1" a="1"/>
  <c r="AH29" i="1" s="1"/>
  <c r="AG28" i="1"/>
  <c r="AH28" i="1" s="1" a="1"/>
  <c r="AH28" i="1" s="1"/>
  <c r="AG27" i="1"/>
  <c r="AH27" i="1" s="1" a="1"/>
  <c r="AH27" i="1" s="1"/>
  <c r="AG23" i="1"/>
  <c r="AH23" i="1" s="1" a="1"/>
  <c r="AH23" i="1" s="1"/>
  <c r="AG22" i="1"/>
  <c r="AH22" i="1" s="1" a="1"/>
  <c r="AH22" i="1" s="1"/>
  <c r="AG21" i="1"/>
  <c r="AH21" i="1" s="1" a="1"/>
  <c r="AH21" i="1" s="1"/>
  <c r="AG20" i="1"/>
  <c r="AH20" i="1" s="1" a="1"/>
  <c r="AH20" i="1" s="1"/>
  <c r="AG19" i="1"/>
  <c r="AH19" i="1" s="1" a="1"/>
  <c r="AH19" i="1" s="1"/>
  <c r="AG18" i="1"/>
  <c r="AH18" i="1" s="1" a="1"/>
  <c r="AH18" i="1" s="1"/>
  <c r="AG17" i="1"/>
  <c r="AH17" i="1" s="1" a="1"/>
  <c r="AH17" i="1" s="1"/>
  <c r="AE17" i="1"/>
  <c r="AF17" i="1" s="1" a="1"/>
  <c r="AF17" i="1" s="1"/>
  <c r="AG16" i="1"/>
  <c r="AH16" i="1" s="1" a="1"/>
  <c r="AH16" i="1" s="1"/>
  <c r="AG15" i="1"/>
  <c r="AH15" i="1" s="1" a="1"/>
  <c r="AH15" i="1" s="1"/>
  <c r="AG11" i="1"/>
  <c r="AH11" i="1" s="1" a="1"/>
  <c r="AH11" i="1" s="1"/>
  <c r="AG10" i="1"/>
  <c r="AH10" i="1" s="1" a="1"/>
  <c r="AH10" i="1" s="1"/>
  <c r="AG9" i="1"/>
  <c r="AH9" i="1" s="1" a="1"/>
  <c r="AH9" i="1" s="1"/>
  <c r="BK130" i="1"/>
  <c r="BK131" i="1"/>
  <c r="BK132" i="1"/>
  <c r="BK133" i="1"/>
  <c r="BK134" i="1"/>
  <c r="BK135" i="1"/>
  <c r="BK136" i="1"/>
  <c r="BK137" i="1"/>
  <c r="BK138" i="1"/>
  <c r="BK139" i="1"/>
  <c r="BK140" i="1"/>
  <c r="BK129" i="1"/>
  <c r="BK120" i="1"/>
  <c r="BK121" i="1"/>
  <c r="BK122" i="1"/>
  <c r="BK123" i="1"/>
  <c r="BK124" i="1"/>
  <c r="BK125" i="1"/>
  <c r="BK119" i="1"/>
  <c r="BK110" i="1"/>
  <c r="BK111" i="1"/>
  <c r="BK112" i="1"/>
  <c r="BK113" i="1"/>
  <c r="BK114" i="1"/>
  <c r="BK115" i="1"/>
  <c r="BK109" i="1"/>
  <c r="BK99" i="1"/>
  <c r="BK100" i="1"/>
  <c r="BK101" i="1"/>
  <c r="BK102" i="1"/>
  <c r="BK103" i="1"/>
  <c r="BK104" i="1"/>
  <c r="BK105" i="1"/>
  <c r="BK88" i="1"/>
  <c r="BK89" i="1"/>
  <c r="BK90" i="1"/>
  <c r="BK91" i="1"/>
  <c r="BK92" i="1"/>
  <c r="BK93" i="1"/>
  <c r="BK94" i="1"/>
  <c r="BK95" i="1"/>
  <c r="BK87" i="1"/>
  <c r="BK73" i="1"/>
  <c r="BK74" i="1"/>
  <c r="BK75" i="1"/>
  <c r="BK76" i="1"/>
  <c r="BK77" i="1"/>
  <c r="BK78" i="1"/>
  <c r="BK79" i="1"/>
  <c r="BK80" i="1"/>
  <c r="BK81" i="1"/>
  <c r="BK82" i="1"/>
  <c r="BK83" i="1"/>
  <c r="BK72" i="1"/>
  <c r="BK63" i="1"/>
  <c r="BK64" i="1"/>
  <c r="BK65" i="1"/>
  <c r="BK66" i="1"/>
  <c r="BK67" i="1"/>
  <c r="BK68" i="1"/>
  <c r="BK62" i="1"/>
  <c r="BK51" i="1"/>
  <c r="BK52" i="1"/>
  <c r="BK53" i="1"/>
  <c r="BK54" i="1"/>
  <c r="BK55" i="1"/>
  <c r="BK56" i="1"/>
  <c r="BK57" i="1"/>
  <c r="BK58" i="1"/>
  <c r="BK50" i="1"/>
  <c r="BK41" i="1"/>
  <c r="BK42" i="1"/>
  <c r="BK43" i="1"/>
  <c r="BK44" i="1"/>
  <c r="BK45" i="1"/>
  <c r="BK46" i="1"/>
  <c r="BK40" i="1"/>
  <c r="BK28" i="1"/>
  <c r="BK29" i="1"/>
  <c r="BK30" i="1"/>
  <c r="BK31" i="1"/>
  <c r="BK32" i="1"/>
  <c r="BK33" i="1"/>
  <c r="BK34" i="1"/>
  <c r="BK35" i="1"/>
  <c r="BK36" i="1"/>
  <c r="BK27" i="1"/>
  <c r="BK16" i="1"/>
  <c r="BK17" i="1"/>
  <c r="BK18" i="1"/>
  <c r="BK19" i="1"/>
  <c r="BK20" i="1"/>
  <c r="BK21" i="1"/>
  <c r="BK22" i="1"/>
  <c r="BK23" i="1"/>
  <c r="BK15" i="1"/>
  <c r="BK5" i="1"/>
  <c r="BK6" i="1"/>
  <c r="BK7" i="1"/>
  <c r="BK8" i="1"/>
  <c r="BK9" i="1"/>
  <c r="BK10" i="1"/>
  <c r="BK11" i="1"/>
  <c r="BK4" i="1"/>
  <c r="BG130" i="1"/>
  <c r="BG132" i="1"/>
  <c r="BG133" i="1"/>
  <c r="BG134" i="1"/>
  <c r="BG135" i="1"/>
  <c r="BG136" i="1"/>
  <c r="BG137" i="1"/>
  <c r="BG138" i="1"/>
  <c r="BG139" i="1"/>
  <c r="BG140" i="1"/>
  <c r="BG129" i="1"/>
  <c r="BG120" i="1"/>
  <c r="BG121" i="1"/>
  <c r="BG122" i="1"/>
  <c r="BG123" i="1"/>
  <c r="BG124" i="1"/>
  <c r="BG125" i="1"/>
  <c r="BG119" i="1"/>
  <c r="BG110" i="1"/>
  <c r="BG111" i="1"/>
  <c r="BG112" i="1"/>
  <c r="BG113" i="1"/>
  <c r="BG114" i="1"/>
  <c r="BG115" i="1"/>
  <c r="BG109" i="1"/>
  <c r="BG99" i="1"/>
  <c r="BG100" i="1"/>
  <c r="BG101" i="1"/>
  <c r="BG102" i="1"/>
  <c r="BG103" i="1"/>
  <c r="BG104" i="1"/>
  <c r="BG105" i="1"/>
  <c r="BG88" i="1"/>
  <c r="BG89" i="1"/>
  <c r="BG90" i="1"/>
  <c r="BG91" i="1"/>
  <c r="BG92" i="1"/>
  <c r="BG93" i="1"/>
  <c r="BG94" i="1"/>
  <c r="BG95" i="1"/>
  <c r="BG87" i="1"/>
  <c r="BG73" i="1"/>
  <c r="BG74" i="1"/>
  <c r="BG75" i="1"/>
  <c r="BG76" i="1"/>
  <c r="BG77" i="1"/>
  <c r="BG78" i="1"/>
  <c r="BG79" i="1"/>
  <c r="BG80" i="1"/>
  <c r="BG81" i="1"/>
  <c r="BG82" i="1"/>
  <c r="BG83" i="1"/>
  <c r="BG72" i="1"/>
  <c r="BG63" i="1"/>
  <c r="BG64" i="1"/>
  <c r="BG65" i="1"/>
  <c r="BG66" i="1"/>
  <c r="BG67" i="1"/>
  <c r="BG68" i="1"/>
  <c r="BG62" i="1"/>
  <c r="BG51" i="1"/>
  <c r="BG52" i="1"/>
  <c r="BG53" i="1"/>
  <c r="BG54" i="1"/>
  <c r="BG55" i="1"/>
  <c r="BG56" i="1"/>
  <c r="BG57" i="1"/>
  <c r="BG58" i="1"/>
  <c r="BG50" i="1"/>
  <c r="BG41" i="1"/>
  <c r="BG42" i="1"/>
  <c r="BG43" i="1"/>
  <c r="BG44" i="1"/>
  <c r="BG45" i="1"/>
  <c r="BG46" i="1"/>
  <c r="BG40" i="1"/>
  <c r="BG28" i="1"/>
  <c r="BG29" i="1"/>
  <c r="BG30" i="1"/>
  <c r="BG31" i="1"/>
  <c r="BG32" i="1"/>
  <c r="BG33" i="1"/>
  <c r="BG34" i="1"/>
  <c r="BG35" i="1"/>
  <c r="BG36" i="1"/>
  <c r="BG27" i="1"/>
  <c r="BG16" i="1"/>
  <c r="BG17" i="1"/>
  <c r="BG18" i="1"/>
  <c r="BG19" i="1"/>
  <c r="BG20" i="1"/>
  <c r="BG21" i="1"/>
  <c r="BG22" i="1"/>
  <c r="BG23" i="1"/>
  <c r="BG15" i="1"/>
  <c r="BG5" i="1"/>
  <c r="BG6" i="1"/>
  <c r="BG7" i="1"/>
  <c r="BG8" i="1"/>
  <c r="BG9" i="1"/>
  <c r="BG10" i="1"/>
  <c r="BG11" i="1"/>
  <c r="BG4" i="1"/>
  <c r="AY5" i="1" l="1"/>
  <c r="AU129" i="1"/>
  <c r="AK64" i="1" a="1"/>
  <c r="AK64" i="1" s="1"/>
  <c r="AK28" i="1" a="1"/>
  <c r="AK28" i="1" s="1"/>
  <c r="AK29" i="1" a="1"/>
  <c r="AK29" i="1" s="1"/>
  <c r="AK30" i="1" a="1"/>
  <c r="AK30" i="1" s="1"/>
  <c r="AK31" i="1" a="1"/>
  <c r="AK31" i="1" s="1"/>
  <c r="AK32" i="1" a="1"/>
  <c r="AK32" i="1" s="1"/>
  <c r="AK33" i="1" a="1"/>
  <c r="AK33" i="1" s="1"/>
  <c r="AK34" i="1" a="1"/>
  <c r="AK34" i="1" s="1"/>
  <c r="AK35" i="1" a="1"/>
  <c r="AK35" i="1" s="1"/>
  <c r="AK36" i="1" a="1"/>
  <c r="AK36" i="1" s="1"/>
  <c r="U140" i="1"/>
  <c r="M14" i="15" l="1"/>
  <c r="G14" i="15"/>
  <c r="L14" i="15"/>
  <c r="C14" i="15"/>
  <c r="D14" i="15"/>
  <c r="E14" i="15"/>
  <c r="F14" i="15"/>
  <c r="H14" i="15"/>
  <c r="J14" i="15"/>
  <c r="I14" i="15"/>
  <c r="K14" i="15"/>
  <c r="B14" i="15"/>
  <c r="AE65" i="1"/>
  <c r="AF65" i="1" s="1" a="1"/>
  <c r="AF65" i="1" s="1"/>
  <c r="AE140" i="1"/>
  <c r="AF140" i="1" s="1" a="1"/>
  <c r="AF140" i="1" s="1"/>
  <c r="AE139" i="1"/>
  <c r="AF139" i="1" s="1" a="1"/>
  <c r="AF139" i="1" s="1"/>
  <c r="AE138" i="1"/>
  <c r="AF138" i="1" s="1" a="1"/>
  <c r="AF138" i="1" s="1"/>
  <c r="AE137" i="1"/>
  <c r="AF137" i="1" s="1" a="1"/>
  <c r="AF137" i="1" s="1"/>
  <c r="AE136" i="1"/>
  <c r="AF136" i="1" s="1" a="1"/>
  <c r="AF136" i="1" s="1"/>
  <c r="AE135" i="1"/>
  <c r="AF135" i="1" s="1" a="1"/>
  <c r="AF135" i="1" s="1"/>
  <c r="AE134" i="1"/>
  <c r="AF134" i="1" s="1" a="1"/>
  <c r="AF134" i="1" s="1"/>
  <c r="AE133" i="1"/>
  <c r="AF133" i="1" s="1" a="1"/>
  <c r="AF133" i="1" s="1"/>
  <c r="AE132" i="1"/>
  <c r="AF132" i="1" s="1" a="1"/>
  <c r="AF132" i="1" s="1"/>
  <c r="AE131" i="1"/>
  <c r="AF131" i="1" s="1" a="1"/>
  <c r="AF131" i="1" s="1"/>
  <c r="AE130" i="1"/>
  <c r="AF130" i="1" s="1" a="1"/>
  <c r="AF130" i="1" s="1"/>
  <c r="AE129" i="1"/>
  <c r="AF129" i="1" s="1" a="1"/>
  <c r="AF129" i="1" s="1"/>
  <c r="AE125" i="1"/>
  <c r="AF125" i="1" s="1" a="1"/>
  <c r="AF125" i="1" s="1"/>
  <c r="AE124" i="1"/>
  <c r="AF124" i="1" s="1" a="1"/>
  <c r="AF124" i="1" s="1"/>
  <c r="AE123" i="1"/>
  <c r="AF123" i="1" s="1" a="1"/>
  <c r="AF123" i="1" s="1"/>
  <c r="AE122" i="1"/>
  <c r="AF122" i="1" s="1" a="1"/>
  <c r="AF122" i="1" s="1"/>
  <c r="AE121" i="1"/>
  <c r="AF121" i="1" s="1" a="1"/>
  <c r="AF121" i="1" s="1"/>
  <c r="AE120" i="1"/>
  <c r="AF120" i="1" s="1" a="1"/>
  <c r="AF120" i="1" s="1"/>
  <c r="AE119" i="1"/>
  <c r="AF119" i="1" s="1" a="1"/>
  <c r="AF119" i="1" s="1"/>
  <c r="AE115" i="1"/>
  <c r="AF115" i="1" s="1" a="1"/>
  <c r="AF115" i="1" s="1"/>
  <c r="AE114" i="1"/>
  <c r="AF114" i="1" s="1" a="1"/>
  <c r="AF114" i="1" s="1"/>
  <c r="AE113" i="1"/>
  <c r="AF113" i="1" s="1" a="1"/>
  <c r="AF113" i="1" s="1"/>
  <c r="AE112" i="1"/>
  <c r="AF112" i="1" s="1" a="1"/>
  <c r="AF112" i="1" s="1"/>
  <c r="AE111" i="1"/>
  <c r="AF111" i="1" s="1" a="1"/>
  <c r="AF111" i="1" s="1"/>
  <c r="AE110" i="1"/>
  <c r="AF110" i="1" s="1" a="1"/>
  <c r="AF110" i="1" s="1"/>
  <c r="AE109" i="1"/>
  <c r="AF109" i="1" s="1" a="1"/>
  <c r="AF109" i="1" s="1"/>
  <c r="AE105" i="1"/>
  <c r="AF105" i="1" s="1" a="1"/>
  <c r="AF105" i="1" s="1"/>
  <c r="AE104" i="1"/>
  <c r="AF104" i="1" s="1" a="1"/>
  <c r="AF104" i="1" s="1"/>
  <c r="AE103" i="1"/>
  <c r="AF103" i="1" s="1" a="1"/>
  <c r="AF103" i="1" s="1"/>
  <c r="AE102" i="1"/>
  <c r="AF102" i="1" s="1" a="1"/>
  <c r="AF102" i="1" s="1"/>
  <c r="AE101" i="1"/>
  <c r="AF101" i="1" s="1" a="1"/>
  <c r="AF101" i="1" s="1"/>
  <c r="AE100" i="1"/>
  <c r="AF100" i="1" s="1" a="1"/>
  <c r="AF100" i="1" s="1"/>
  <c r="AE99" i="1"/>
  <c r="AF99" i="1" s="1" a="1"/>
  <c r="AF99" i="1" s="1"/>
  <c r="AE95" i="1"/>
  <c r="AF95" i="1" s="1" a="1"/>
  <c r="AF95" i="1" s="1"/>
  <c r="AE94" i="1"/>
  <c r="AF94" i="1" s="1" a="1"/>
  <c r="AF94" i="1" s="1"/>
  <c r="AE93" i="1"/>
  <c r="AF93" i="1" s="1" a="1"/>
  <c r="AF93" i="1" s="1"/>
  <c r="AE92" i="1"/>
  <c r="AF92" i="1" s="1" a="1"/>
  <c r="AF92" i="1" s="1"/>
  <c r="AE91" i="1"/>
  <c r="AF91" i="1" s="1" a="1"/>
  <c r="AF91" i="1" s="1"/>
  <c r="AE90" i="1"/>
  <c r="AF90" i="1" s="1" a="1"/>
  <c r="AF90" i="1" s="1"/>
  <c r="AE89" i="1"/>
  <c r="AF89" i="1" s="1" a="1"/>
  <c r="AF89" i="1" s="1"/>
  <c r="AE88" i="1"/>
  <c r="AF88" i="1" s="1" a="1"/>
  <c r="AF88" i="1" s="1"/>
  <c r="AE87" i="1"/>
  <c r="AF87" i="1" s="1" a="1"/>
  <c r="AF87" i="1" s="1"/>
  <c r="AE83" i="1"/>
  <c r="AF83" i="1" s="1" a="1"/>
  <c r="AF83" i="1" s="1"/>
  <c r="AE82" i="1"/>
  <c r="AF82" i="1" s="1" a="1"/>
  <c r="AF82" i="1" s="1"/>
  <c r="AE81" i="1"/>
  <c r="AF81" i="1" s="1" a="1"/>
  <c r="AF81" i="1" s="1"/>
  <c r="AE80" i="1"/>
  <c r="AF80" i="1" s="1" a="1"/>
  <c r="AF80" i="1" s="1"/>
  <c r="AE79" i="1"/>
  <c r="AF79" i="1" s="1" a="1"/>
  <c r="AF79" i="1" s="1"/>
  <c r="AE78" i="1"/>
  <c r="AF78" i="1" s="1" a="1"/>
  <c r="AF78" i="1" s="1"/>
  <c r="AE77" i="1"/>
  <c r="AF77" i="1" s="1" a="1"/>
  <c r="AF77" i="1" s="1"/>
  <c r="AE76" i="1"/>
  <c r="AF76" i="1" s="1" a="1"/>
  <c r="AF76" i="1" s="1"/>
  <c r="AE75" i="1"/>
  <c r="AF75" i="1" s="1" a="1"/>
  <c r="AF75" i="1" s="1"/>
  <c r="AE74" i="1"/>
  <c r="AF74" i="1" s="1" a="1"/>
  <c r="AF74" i="1" s="1"/>
  <c r="AE73" i="1"/>
  <c r="AF73" i="1" s="1" a="1"/>
  <c r="AF73" i="1" s="1"/>
  <c r="AE72" i="1"/>
  <c r="AF72" i="1" s="1" a="1"/>
  <c r="AF72" i="1" s="1"/>
  <c r="AE68" i="1"/>
  <c r="AF68" i="1" s="1" a="1"/>
  <c r="AF68" i="1" s="1"/>
  <c r="AE67" i="1"/>
  <c r="AF67" i="1" s="1" a="1"/>
  <c r="AF67" i="1" s="1"/>
  <c r="AE66" i="1"/>
  <c r="AF66" i="1" s="1" a="1"/>
  <c r="AF66" i="1" s="1"/>
  <c r="AE62" i="1"/>
  <c r="AF62" i="1" s="1" a="1"/>
  <c r="AF62" i="1" s="1"/>
  <c r="AE58" i="1"/>
  <c r="AF58" i="1" s="1" a="1"/>
  <c r="AF58" i="1" s="1"/>
  <c r="AE57" i="1"/>
  <c r="AF57" i="1" s="1" a="1"/>
  <c r="AF57" i="1" s="1"/>
  <c r="AE56" i="1"/>
  <c r="AF56" i="1" s="1" a="1"/>
  <c r="AF56" i="1" s="1"/>
  <c r="AE55" i="1"/>
  <c r="AF55" i="1" s="1" a="1"/>
  <c r="AF55" i="1" s="1"/>
  <c r="AE54" i="1"/>
  <c r="AF54" i="1" s="1" a="1"/>
  <c r="AF54" i="1" s="1"/>
  <c r="AE53" i="1"/>
  <c r="AF53" i="1" s="1" a="1"/>
  <c r="AF53" i="1" s="1"/>
  <c r="AE52" i="1"/>
  <c r="AF52" i="1" s="1" a="1"/>
  <c r="AF52" i="1" s="1"/>
  <c r="AE51" i="1"/>
  <c r="AF51" i="1" s="1" a="1"/>
  <c r="AF51" i="1" s="1"/>
  <c r="AE50" i="1"/>
  <c r="AF50" i="1" s="1" a="1"/>
  <c r="AF50" i="1" s="1"/>
  <c r="AE46" i="1"/>
  <c r="AF46" i="1" s="1" a="1"/>
  <c r="AF46" i="1" s="1"/>
  <c r="AE45" i="1"/>
  <c r="AF45" i="1" s="1" a="1"/>
  <c r="AF45" i="1" s="1"/>
  <c r="AE44" i="1"/>
  <c r="AF44" i="1" s="1" a="1"/>
  <c r="AF44" i="1" s="1"/>
  <c r="AE43" i="1"/>
  <c r="AF43" i="1" s="1" a="1"/>
  <c r="AF43" i="1" s="1"/>
  <c r="AE42" i="1"/>
  <c r="AF42" i="1" s="1" a="1"/>
  <c r="AF42" i="1" s="1"/>
  <c r="AE41" i="1"/>
  <c r="AF41" i="1" s="1" a="1"/>
  <c r="AF41" i="1" s="1"/>
  <c r="AE40" i="1"/>
  <c r="AF40" i="1" s="1" a="1"/>
  <c r="AF40" i="1" s="1"/>
  <c r="AE36" i="1"/>
  <c r="AF36" i="1" s="1" a="1"/>
  <c r="AF36" i="1" s="1"/>
  <c r="AE35" i="1"/>
  <c r="AF35" i="1" s="1" a="1"/>
  <c r="AF35" i="1" s="1"/>
  <c r="AE34" i="1"/>
  <c r="AF34" i="1" s="1" a="1"/>
  <c r="AF34" i="1" s="1"/>
  <c r="AE33" i="1"/>
  <c r="AF33" i="1" s="1" a="1"/>
  <c r="AF33" i="1" s="1"/>
  <c r="AE32" i="1"/>
  <c r="AF32" i="1" s="1" a="1"/>
  <c r="AF32" i="1" s="1"/>
  <c r="AE31" i="1"/>
  <c r="AF31" i="1" s="1" a="1"/>
  <c r="AF31" i="1" s="1"/>
  <c r="AE30" i="1"/>
  <c r="AF30" i="1" s="1" a="1"/>
  <c r="AF30" i="1" s="1"/>
  <c r="AE29" i="1"/>
  <c r="AF29" i="1" s="1" a="1"/>
  <c r="AF29" i="1" s="1"/>
  <c r="AE28" i="1"/>
  <c r="AF28" i="1" s="1" a="1"/>
  <c r="AF28" i="1" s="1"/>
  <c r="AE27" i="1"/>
  <c r="AF27" i="1" s="1" a="1"/>
  <c r="AF27" i="1" s="1"/>
  <c r="AE23" i="1"/>
  <c r="AF23" i="1" s="1" a="1"/>
  <c r="AF23" i="1" s="1"/>
  <c r="AE22" i="1"/>
  <c r="AF22" i="1" s="1" a="1"/>
  <c r="AF22" i="1" s="1"/>
  <c r="AE21" i="1"/>
  <c r="AF21" i="1" s="1" a="1"/>
  <c r="AF21" i="1" s="1"/>
  <c r="AE20" i="1"/>
  <c r="AF20" i="1" s="1" a="1"/>
  <c r="AF20" i="1" s="1"/>
  <c r="AE19" i="1"/>
  <c r="AF19" i="1" s="1" a="1"/>
  <c r="AF19" i="1" s="1"/>
  <c r="AE18" i="1"/>
  <c r="AF18" i="1" s="1" a="1"/>
  <c r="AF18" i="1" s="1"/>
  <c r="AE16" i="1"/>
  <c r="AF16" i="1" s="1" a="1"/>
  <c r="AF16" i="1" s="1"/>
  <c r="AE15" i="1"/>
  <c r="AF15" i="1" s="1" a="1"/>
  <c r="AF15" i="1" s="1"/>
  <c r="AE11" i="1"/>
  <c r="AF11" i="1" s="1" a="1"/>
  <c r="AF11" i="1" s="1"/>
  <c r="AE10" i="1"/>
  <c r="AF10" i="1" s="1" a="1"/>
  <c r="AF10" i="1" s="1"/>
  <c r="AE9" i="1"/>
  <c r="AF9" i="1" s="1" a="1"/>
  <c r="AF9" i="1" s="1"/>
  <c r="AF8" i="1" a="1"/>
  <c r="AF8" i="1" s="1"/>
  <c r="AE7" i="1"/>
  <c r="AF7" i="1" s="1" a="1"/>
  <c r="AF7" i="1" s="1"/>
  <c r="AF6" i="1" a="1"/>
  <c r="AF6" i="1" s="1"/>
  <c r="AF5" i="1" a="1"/>
  <c r="AF5" i="1" s="1"/>
  <c r="AF4" i="1" a="1"/>
  <c r="AF4" i="1" s="1"/>
  <c r="F54" i="1"/>
  <c r="N14" i="15" l="1"/>
  <c r="F139" i="1"/>
  <c r="F138" i="1"/>
  <c r="F137" i="1"/>
  <c r="F136" i="1"/>
  <c r="F135" i="1"/>
  <c r="F134" i="1"/>
  <c r="F133" i="1"/>
  <c r="F132" i="1"/>
  <c r="F131" i="1"/>
  <c r="F130" i="1"/>
  <c r="F129" i="1"/>
  <c r="F125" i="1"/>
  <c r="F124" i="1"/>
  <c r="F123" i="1"/>
  <c r="F122" i="1"/>
  <c r="F121" i="1"/>
  <c r="F120" i="1"/>
  <c r="F119" i="1"/>
  <c r="F115" i="1"/>
  <c r="F114" i="1"/>
  <c r="F113" i="1"/>
  <c r="F112" i="1"/>
  <c r="F111" i="1"/>
  <c r="F110" i="1"/>
  <c r="F109" i="1"/>
  <c r="F105" i="1"/>
  <c r="F104" i="1"/>
  <c r="F102" i="1"/>
  <c r="F101" i="1"/>
  <c r="F100" i="1"/>
  <c r="F99" i="1"/>
  <c r="F95" i="1"/>
  <c r="F94" i="1"/>
  <c r="F93" i="1"/>
  <c r="F92" i="1"/>
  <c r="F91" i="1"/>
  <c r="F90" i="1"/>
  <c r="F89" i="1"/>
  <c r="F88" i="1"/>
  <c r="F87" i="1"/>
  <c r="F83" i="1"/>
  <c r="F82" i="1"/>
  <c r="F81" i="1"/>
  <c r="F80" i="1"/>
  <c r="F79" i="1"/>
  <c r="F78" i="1"/>
  <c r="F77" i="1"/>
  <c r="F76" i="1"/>
  <c r="F75" i="1"/>
  <c r="F74" i="1"/>
  <c r="F73" i="1"/>
  <c r="F72" i="1"/>
  <c r="F62" i="1"/>
  <c r="F58" i="1"/>
  <c r="F57" i="1"/>
  <c r="F56" i="1"/>
  <c r="F55" i="1"/>
  <c r="F53" i="1"/>
  <c r="F52" i="1"/>
  <c r="F51" i="1"/>
  <c r="F50" i="1"/>
  <c r="F46" i="1"/>
  <c r="F45" i="1"/>
  <c r="F44" i="1"/>
  <c r="F43" i="1"/>
  <c r="F42" i="1"/>
  <c r="F41" i="1"/>
  <c r="F40" i="1"/>
  <c r="F36" i="1"/>
  <c r="F35" i="1"/>
  <c r="F34" i="1"/>
  <c r="F33" i="1"/>
  <c r="F32" i="1"/>
  <c r="F31" i="1"/>
  <c r="F30" i="1"/>
  <c r="F29" i="1"/>
  <c r="F28" i="1"/>
  <c r="F27" i="1"/>
  <c r="F23" i="1"/>
  <c r="F22" i="1"/>
  <c r="F21" i="1"/>
  <c r="F20" i="1"/>
  <c r="F19" i="1"/>
  <c r="F18" i="1"/>
  <c r="F17" i="1"/>
  <c r="F16" i="1"/>
  <c r="F15" i="1"/>
  <c r="Y4" i="1"/>
  <c r="AK140" i="1" a="1"/>
  <c r="AK140" i="1" s="1"/>
  <c r="AK139" i="1" a="1"/>
  <c r="AK139" i="1" s="1"/>
  <c r="AK138" i="1" a="1"/>
  <c r="AK138" i="1" s="1"/>
  <c r="AK137" i="1" a="1"/>
  <c r="AK137" i="1" s="1"/>
  <c r="AK136" i="1" a="1"/>
  <c r="AK136" i="1" s="1"/>
  <c r="AK135" i="1" a="1"/>
  <c r="AK135" i="1" s="1"/>
  <c r="AK134" i="1" a="1"/>
  <c r="AK134" i="1" s="1"/>
  <c r="AK133" i="1" a="1"/>
  <c r="AK133" i="1" s="1"/>
  <c r="AK132" i="1" a="1"/>
  <c r="AK132" i="1" s="1"/>
  <c r="AK131" i="1" a="1"/>
  <c r="AK131" i="1" s="1"/>
  <c r="AK130" i="1" a="1"/>
  <c r="AK130" i="1" s="1"/>
  <c r="AK129" i="1" a="1"/>
  <c r="AK129" i="1" s="1"/>
  <c r="AK125" i="1" a="1"/>
  <c r="AK125" i="1" s="1"/>
  <c r="AK124" i="1" a="1"/>
  <c r="AK124" i="1" s="1"/>
  <c r="AK123" i="1" a="1"/>
  <c r="AK123" i="1" s="1"/>
  <c r="AK122" i="1" a="1"/>
  <c r="AK122" i="1" s="1"/>
  <c r="AK121" i="1" a="1"/>
  <c r="AK121" i="1" s="1"/>
  <c r="AK120" i="1" a="1"/>
  <c r="AK120" i="1" s="1"/>
  <c r="AK119" i="1" a="1"/>
  <c r="AK119" i="1" s="1"/>
  <c r="AK115" i="1" a="1"/>
  <c r="AK115" i="1" s="1"/>
  <c r="AK114" i="1" a="1"/>
  <c r="AK114" i="1" s="1"/>
  <c r="AK113" i="1" a="1"/>
  <c r="AK113" i="1" s="1"/>
  <c r="AK112" i="1" a="1"/>
  <c r="AK112" i="1" s="1"/>
  <c r="AK111" i="1" a="1"/>
  <c r="AK111" i="1" s="1"/>
  <c r="AK110" i="1" a="1"/>
  <c r="AK110" i="1" s="1"/>
  <c r="AK109" i="1" a="1"/>
  <c r="AK109" i="1" s="1"/>
  <c r="AK105" i="1" a="1"/>
  <c r="AK105" i="1" s="1"/>
  <c r="AK104" i="1" a="1"/>
  <c r="AK104" i="1" s="1"/>
  <c r="AK103" i="1" a="1"/>
  <c r="AK103" i="1" s="1"/>
  <c r="AK102" i="1" a="1"/>
  <c r="AK102" i="1" s="1"/>
  <c r="AK101" i="1" a="1"/>
  <c r="AK101" i="1" s="1"/>
  <c r="AK100" i="1" a="1"/>
  <c r="AK100" i="1" s="1"/>
  <c r="AK99" i="1" a="1"/>
  <c r="AK99" i="1" s="1"/>
  <c r="AK95" i="1" a="1"/>
  <c r="AK95" i="1" s="1"/>
  <c r="AK94" i="1" a="1"/>
  <c r="AK94" i="1" s="1"/>
  <c r="AK93" i="1" a="1"/>
  <c r="AK93" i="1" s="1"/>
  <c r="AK92" i="1" a="1"/>
  <c r="AK92" i="1" s="1"/>
  <c r="AK91" i="1" a="1"/>
  <c r="AK91" i="1" s="1"/>
  <c r="AK90" i="1" a="1"/>
  <c r="AK90" i="1" s="1"/>
  <c r="AK89" i="1" a="1"/>
  <c r="AK89" i="1" s="1"/>
  <c r="AK88" i="1" a="1"/>
  <c r="AK88" i="1" s="1"/>
  <c r="AK87" i="1" a="1"/>
  <c r="AK87" i="1" s="1"/>
  <c r="AK83" i="1" a="1"/>
  <c r="AK83" i="1" s="1"/>
  <c r="AK82" i="1" a="1"/>
  <c r="AK82" i="1" s="1"/>
  <c r="AK81" i="1" a="1"/>
  <c r="AK81" i="1" s="1"/>
  <c r="AK80" i="1" a="1"/>
  <c r="AK80" i="1" s="1"/>
  <c r="AK79" i="1" a="1"/>
  <c r="AK79" i="1" s="1"/>
  <c r="AK78" i="1" a="1"/>
  <c r="AK78" i="1" s="1"/>
  <c r="AK77" i="1" a="1"/>
  <c r="AK77" i="1" s="1"/>
  <c r="AK76" i="1" a="1"/>
  <c r="AK76" i="1" s="1"/>
  <c r="AK75" i="1" a="1"/>
  <c r="AK75" i="1" s="1"/>
  <c r="AK74" i="1" a="1"/>
  <c r="AK74" i="1" s="1"/>
  <c r="AK73" i="1" a="1"/>
  <c r="AK73" i="1" s="1"/>
  <c r="AK72" i="1" a="1"/>
  <c r="AK72" i="1" s="1"/>
  <c r="AK68" i="1" a="1"/>
  <c r="AK68" i="1" s="1"/>
  <c r="AK67" i="1" a="1"/>
  <c r="AK67" i="1" s="1"/>
  <c r="AK66" i="1" a="1"/>
  <c r="AK66" i="1" s="1"/>
  <c r="AK65" i="1" a="1"/>
  <c r="AK65" i="1" s="1"/>
  <c r="AK63" i="1" a="1"/>
  <c r="AK63" i="1" s="1"/>
  <c r="AK62" i="1" a="1"/>
  <c r="AK62" i="1" s="1"/>
  <c r="AK58" i="1" a="1"/>
  <c r="AK58" i="1" s="1"/>
  <c r="AK57" i="1" a="1"/>
  <c r="AK57" i="1" s="1"/>
  <c r="AK56" i="1" a="1"/>
  <c r="AK56" i="1" s="1"/>
  <c r="AK55" i="1" a="1"/>
  <c r="AK55" i="1" s="1"/>
  <c r="AK54" i="1" a="1"/>
  <c r="AK54" i="1" s="1"/>
  <c r="AK53" i="1" a="1"/>
  <c r="AK53" i="1" s="1"/>
  <c r="AK52" i="1" a="1"/>
  <c r="AK52" i="1" s="1"/>
  <c r="AK51" i="1" a="1"/>
  <c r="AK51" i="1" s="1"/>
  <c r="AK50" i="1" a="1"/>
  <c r="AK50" i="1" s="1"/>
  <c r="AK46" i="1" a="1"/>
  <c r="AK46" i="1" s="1"/>
  <c r="AK45" i="1" a="1"/>
  <c r="AK45" i="1" s="1"/>
  <c r="AK44" i="1" a="1"/>
  <c r="AK44" i="1" s="1"/>
  <c r="AK43" i="1" a="1"/>
  <c r="AK43" i="1" s="1"/>
  <c r="AK42" i="1" a="1"/>
  <c r="AK42" i="1" s="1"/>
  <c r="AK40" i="1" a="1"/>
  <c r="AK40" i="1" s="1"/>
  <c r="AK27" i="1" a="1"/>
  <c r="AK27" i="1" s="1"/>
  <c r="AK23" i="1" a="1"/>
  <c r="AK23" i="1" s="1"/>
  <c r="AK22" i="1" a="1"/>
  <c r="AK22" i="1" s="1"/>
  <c r="AK21" i="1" a="1"/>
  <c r="AK21" i="1" s="1"/>
  <c r="AK20" i="1" a="1"/>
  <c r="AK20" i="1" s="1"/>
  <c r="AK19" i="1" a="1"/>
  <c r="AK19" i="1" s="1"/>
  <c r="AK18" i="1" a="1"/>
  <c r="AK18" i="1" s="1"/>
  <c r="AK17" i="1" a="1"/>
  <c r="AK17" i="1" s="1"/>
  <c r="AK16" i="1" a="1"/>
  <c r="AK16" i="1" s="1"/>
  <c r="AK15" i="1" a="1"/>
  <c r="AK15" i="1" s="1"/>
  <c r="AK5" i="1" a="1"/>
  <c r="AK5" i="1" s="1"/>
  <c r="AK6" i="1" a="1"/>
  <c r="AK6" i="1" s="1"/>
  <c r="AK7" i="1" a="1"/>
  <c r="AK7" i="1" s="1"/>
  <c r="AK8" i="1" a="1"/>
  <c r="AK8" i="1" s="1"/>
  <c r="AK9" i="1" a="1"/>
  <c r="AK9" i="1" s="1"/>
  <c r="AK10" i="1" a="1"/>
  <c r="AK10" i="1" s="1"/>
  <c r="AK11" i="1" a="1"/>
  <c r="AK11" i="1" s="1"/>
  <c r="AK4" i="1" a="1"/>
  <c r="AK4" i="1" s="1"/>
  <c r="Y140" i="1" l="1"/>
  <c r="Y139" i="1"/>
  <c r="Y138" i="1"/>
  <c r="Y137" i="1"/>
  <c r="Y136" i="1"/>
  <c r="Y135" i="1"/>
  <c r="Y134" i="1"/>
  <c r="Y133" i="1"/>
  <c r="Y132" i="1"/>
  <c r="Y131" i="1"/>
  <c r="Y130" i="1"/>
  <c r="Y129" i="1"/>
  <c r="Y125" i="1"/>
  <c r="Y124" i="1"/>
  <c r="Y123" i="1"/>
  <c r="Y122" i="1"/>
  <c r="Y121" i="1"/>
  <c r="Y120" i="1"/>
  <c r="Y119" i="1"/>
  <c r="Y115" i="1"/>
  <c r="Y114" i="1"/>
  <c r="Y113" i="1"/>
  <c r="Y112" i="1"/>
  <c r="Y111" i="1"/>
  <c r="Y110" i="1"/>
  <c r="Y109" i="1"/>
  <c r="Y105" i="1"/>
  <c r="Y104" i="1"/>
  <c r="Y103" i="1"/>
  <c r="Y102" i="1"/>
  <c r="Y101" i="1"/>
  <c r="Y100" i="1"/>
  <c r="Y99" i="1"/>
  <c r="Y95" i="1"/>
  <c r="Y94" i="1"/>
  <c r="Y93" i="1"/>
  <c r="Y92" i="1"/>
  <c r="Y91" i="1"/>
  <c r="Y90" i="1"/>
  <c r="Y89" i="1"/>
  <c r="Y88" i="1"/>
  <c r="Y87" i="1"/>
  <c r="Y83" i="1"/>
  <c r="Y82" i="1"/>
  <c r="Y81" i="1"/>
  <c r="Y80" i="1"/>
  <c r="Y79" i="1"/>
  <c r="Y78" i="1"/>
  <c r="Y77" i="1"/>
  <c r="Y76" i="1"/>
  <c r="Y75" i="1"/>
  <c r="Y74" i="1"/>
  <c r="Y73" i="1"/>
  <c r="Y72" i="1"/>
  <c r="Y68" i="1"/>
  <c r="Y67" i="1"/>
  <c r="Y66" i="1"/>
  <c r="Y65" i="1"/>
  <c r="Y64" i="1"/>
  <c r="Y63" i="1"/>
  <c r="Y62" i="1"/>
  <c r="Y58" i="1"/>
  <c r="Y57" i="1"/>
  <c r="Y56" i="1"/>
  <c r="Y55" i="1"/>
  <c r="Y54" i="1"/>
  <c r="Y53" i="1"/>
  <c r="Y52" i="1"/>
  <c r="Y51" i="1"/>
  <c r="Y50" i="1"/>
  <c r="Y46" i="1"/>
  <c r="Y45" i="1"/>
  <c r="Y44" i="1"/>
  <c r="Y43" i="1"/>
  <c r="Y42" i="1"/>
  <c r="Y41" i="1"/>
  <c r="Y40" i="1"/>
  <c r="Y36" i="1"/>
  <c r="Y35" i="1"/>
  <c r="Y34" i="1"/>
  <c r="Y33" i="1"/>
  <c r="Y32" i="1"/>
  <c r="Y31" i="1"/>
  <c r="Y30" i="1"/>
  <c r="Y29" i="1"/>
  <c r="Y28" i="1"/>
  <c r="Y27" i="1"/>
  <c r="Y23" i="1"/>
  <c r="Y22" i="1"/>
  <c r="Y21" i="1"/>
  <c r="Y20" i="1"/>
  <c r="Y19" i="1"/>
  <c r="Y18" i="1"/>
  <c r="Y17" i="1"/>
  <c r="Y16" i="1"/>
  <c r="Y15" i="1"/>
  <c r="Y5" i="1"/>
  <c r="Y6" i="1"/>
  <c r="Y7" i="1"/>
  <c r="Y8" i="1"/>
  <c r="Y9" i="1"/>
  <c r="Y10" i="1"/>
  <c r="Y1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5" i="1"/>
  <c r="P124" i="1"/>
  <c r="P123" i="1"/>
  <c r="P122" i="1"/>
  <c r="P121" i="1"/>
  <c r="P120" i="1"/>
  <c r="P119" i="1"/>
  <c r="P115" i="1"/>
  <c r="P114" i="1"/>
  <c r="P113" i="1"/>
  <c r="P112" i="1"/>
  <c r="P111" i="1"/>
  <c r="P110" i="1"/>
  <c r="P109" i="1"/>
  <c r="P105" i="1"/>
  <c r="P104" i="1"/>
  <c r="P103" i="1"/>
  <c r="P102" i="1"/>
  <c r="P101" i="1"/>
  <c r="P100" i="1"/>
  <c r="P99" i="1"/>
  <c r="P95" i="1"/>
  <c r="P94" i="1"/>
  <c r="P93" i="1"/>
  <c r="P92" i="1"/>
  <c r="P91" i="1"/>
  <c r="P90" i="1"/>
  <c r="P89" i="1"/>
  <c r="P88" i="1"/>
  <c r="P87" i="1"/>
  <c r="P83" i="1"/>
  <c r="P82" i="1"/>
  <c r="P81" i="1"/>
  <c r="P80" i="1"/>
  <c r="P79" i="1"/>
  <c r="P78" i="1"/>
  <c r="P77" i="1"/>
  <c r="P76" i="1"/>
  <c r="P75" i="1"/>
  <c r="P74" i="1"/>
  <c r="P73" i="1"/>
  <c r="P72" i="1"/>
  <c r="P68" i="1"/>
  <c r="P67" i="1"/>
  <c r="P66" i="1"/>
  <c r="P65" i="1"/>
  <c r="P64" i="1"/>
  <c r="P63" i="1"/>
  <c r="P62" i="1"/>
  <c r="P58" i="1"/>
  <c r="P57" i="1"/>
  <c r="P56" i="1"/>
  <c r="P55" i="1"/>
  <c r="P54" i="1"/>
  <c r="P53" i="1"/>
  <c r="P52" i="1"/>
  <c r="P51" i="1"/>
  <c r="P50" i="1"/>
  <c r="P46" i="1"/>
  <c r="P45" i="1"/>
  <c r="P44" i="1"/>
  <c r="P43" i="1"/>
  <c r="P42" i="1"/>
  <c r="P41" i="1"/>
  <c r="P40" i="1"/>
  <c r="P36" i="1"/>
  <c r="P35" i="1"/>
  <c r="P34" i="1"/>
  <c r="P33" i="1"/>
  <c r="P32" i="1"/>
  <c r="P31" i="1"/>
  <c r="P30" i="1"/>
  <c r="P29" i="1"/>
  <c r="P28" i="1"/>
  <c r="P27" i="1"/>
  <c r="P23" i="1"/>
  <c r="P22" i="1"/>
  <c r="P21" i="1"/>
  <c r="P20" i="1"/>
  <c r="P19" i="1"/>
  <c r="P17" i="1"/>
  <c r="P16" i="1"/>
  <c r="P15" i="1"/>
  <c r="P5" i="1"/>
  <c r="P6" i="1"/>
  <c r="P7" i="1"/>
  <c r="P8" i="1"/>
  <c r="P9" i="1"/>
  <c r="P10" i="1"/>
  <c r="P11" i="1"/>
  <c r="P4" i="1"/>
  <c r="AO140" i="1" a="1"/>
  <c r="AO140" i="1" s="1"/>
  <c r="AO139" i="1" a="1"/>
  <c r="AO139" i="1" s="1"/>
  <c r="AO138" i="1" a="1"/>
  <c r="AO138" i="1" s="1"/>
  <c r="AO137" i="1" a="1"/>
  <c r="AO137" i="1" s="1"/>
  <c r="AO136" i="1" a="1"/>
  <c r="AO136" i="1" s="1"/>
  <c r="AO135" i="1" a="1"/>
  <c r="AO135" i="1" s="1"/>
  <c r="AO134" i="1" a="1"/>
  <c r="AO134" i="1" s="1"/>
  <c r="AO133" i="1" a="1"/>
  <c r="AO133" i="1" s="1"/>
  <c r="AO132" i="1" a="1"/>
  <c r="AO132" i="1" s="1"/>
  <c r="AO131" i="1" a="1"/>
  <c r="AO131" i="1" s="1"/>
  <c r="AO130" i="1" a="1"/>
  <c r="AO130" i="1" s="1"/>
  <c r="AO129" i="1" a="1"/>
  <c r="AO129" i="1" s="1"/>
  <c r="AO125" i="1" a="1"/>
  <c r="AO125" i="1" s="1"/>
  <c r="AO124" i="1" a="1"/>
  <c r="AO124" i="1" s="1"/>
  <c r="AO123" i="1" a="1"/>
  <c r="AO123" i="1" s="1"/>
  <c r="AO122" i="1" a="1"/>
  <c r="AO122" i="1" s="1"/>
  <c r="AO121" i="1" a="1"/>
  <c r="AO121" i="1" s="1"/>
  <c r="AO120" i="1" a="1"/>
  <c r="AO120" i="1" s="1"/>
  <c r="AO119" i="1" a="1"/>
  <c r="AO119" i="1" s="1"/>
  <c r="AO115" i="1" l="1" a="1"/>
  <c r="AO115" i="1" s="1"/>
  <c r="AO114" i="1" a="1"/>
  <c r="AO114" i="1" s="1"/>
  <c r="AO113" i="1" a="1"/>
  <c r="AO113" i="1" s="1"/>
  <c r="AO112" i="1" a="1"/>
  <c r="AO112" i="1" s="1"/>
  <c r="AO111" i="1" a="1"/>
  <c r="AO111" i="1" s="1"/>
  <c r="AO110" i="1" a="1"/>
  <c r="AO110" i="1" s="1"/>
  <c r="AO105" i="1" a="1"/>
  <c r="AO105" i="1" s="1"/>
  <c r="AO104" i="1" a="1"/>
  <c r="AO104" i="1" s="1"/>
  <c r="AO103" i="1" a="1"/>
  <c r="AO103" i="1" s="1"/>
  <c r="AO102" i="1" a="1"/>
  <c r="AO102" i="1" s="1"/>
  <c r="AO101" i="1" a="1"/>
  <c r="AO101" i="1" s="1"/>
  <c r="AO100" i="1" a="1"/>
  <c r="AO100" i="1" s="1"/>
  <c r="AO99" i="1" a="1"/>
  <c r="AO99" i="1" s="1"/>
  <c r="AO95" i="1" a="1"/>
  <c r="AO95" i="1" s="1"/>
  <c r="AO94" i="1" a="1"/>
  <c r="AO94" i="1" s="1"/>
  <c r="AO93" i="1" a="1"/>
  <c r="AO93" i="1" s="1"/>
  <c r="AO92" i="1" a="1"/>
  <c r="AO92" i="1" s="1"/>
  <c r="AO91" i="1" a="1"/>
  <c r="AO91" i="1" s="1"/>
  <c r="AO90" i="1" a="1"/>
  <c r="AO90" i="1" s="1"/>
  <c r="AO89" i="1" a="1"/>
  <c r="AO89" i="1" s="1"/>
  <c r="AO88" i="1" a="1"/>
  <c r="AO88" i="1" s="1"/>
  <c r="AO87" i="1" a="1"/>
  <c r="AO87" i="1" s="1"/>
  <c r="AO83" i="1" a="1"/>
  <c r="AO83" i="1" s="1"/>
  <c r="AO82" i="1" a="1"/>
  <c r="AO82" i="1" s="1"/>
  <c r="AO81" i="1" a="1"/>
  <c r="AO81" i="1" s="1"/>
  <c r="AO80" i="1" a="1"/>
  <c r="AO80" i="1" s="1"/>
  <c r="AO79" i="1" a="1"/>
  <c r="AO79" i="1" s="1"/>
  <c r="AO78" i="1" a="1"/>
  <c r="AO78" i="1" s="1"/>
  <c r="AO77" i="1" a="1"/>
  <c r="AO77" i="1" s="1"/>
  <c r="AO76" i="1" a="1"/>
  <c r="AO76" i="1" s="1"/>
  <c r="AO75" i="1" a="1"/>
  <c r="AO75" i="1" s="1"/>
  <c r="AO74" i="1" a="1"/>
  <c r="AO74" i="1" s="1"/>
  <c r="AO73" i="1" a="1"/>
  <c r="AO73" i="1" s="1"/>
  <c r="AO72" i="1" a="1"/>
  <c r="AO72" i="1" s="1"/>
  <c r="AO68" i="1" a="1"/>
  <c r="AO68" i="1" s="1"/>
  <c r="AO67" i="1" a="1"/>
  <c r="AO67" i="1" s="1"/>
  <c r="AO66" i="1" a="1"/>
  <c r="AO66" i="1" s="1"/>
  <c r="AO65" i="1" a="1"/>
  <c r="AO65" i="1" s="1"/>
  <c r="AO64" i="1" a="1"/>
  <c r="AO64" i="1" s="1"/>
  <c r="AO63" i="1" a="1"/>
  <c r="AO63" i="1" s="1"/>
  <c r="AO62" i="1" a="1"/>
  <c r="AO62" i="1" s="1"/>
  <c r="AO58" i="1" a="1"/>
  <c r="AO58" i="1" s="1"/>
  <c r="AO57" i="1" a="1"/>
  <c r="AO57" i="1" s="1"/>
  <c r="AO56" i="1" a="1"/>
  <c r="AO56" i="1" s="1"/>
  <c r="AO55" i="1" a="1"/>
  <c r="AO55" i="1" s="1"/>
  <c r="AO54" i="1" a="1"/>
  <c r="AO54" i="1" s="1"/>
  <c r="AO53" i="1" a="1"/>
  <c r="AO53" i="1" s="1"/>
  <c r="AO52" i="1" a="1"/>
  <c r="AO52" i="1" s="1"/>
  <c r="AO51" i="1" a="1"/>
  <c r="AO51" i="1" s="1"/>
  <c r="AO50" i="1" a="1"/>
  <c r="AO50" i="1" s="1"/>
  <c r="AO46" i="1" a="1"/>
  <c r="AO46" i="1" s="1"/>
  <c r="AO45" i="1" a="1"/>
  <c r="AO45" i="1" s="1"/>
  <c r="AO44" i="1" a="1"/>
  <c r="AO44" i="1" s="1"/>
  <c r="AO43" i="1" a="1"/>
  <c r="AO43" i="1" s="1"/>
  <c r="AO42" i="1" a="1"/>
  <c r="AO42" i="1" s="1"/>
  <c r="AO41" i="1" a="1"/>
  <c r="AO41" i="1" s="1"/>
  <c r="AO40" i="1" a="1"/>
  <c r="AO40" i="1" s="1"/>
  <c r="AO36" i="1" a="1"/>
  <c r="AO36" i="1" s="1"/>
  <c r="AO35" i="1" a="1"/>
  <c r="AO35" i="1" s="1"/>
  <c r="AO34" i="1" a="1"/>
  <c r="AO34" i="1" s="1"/>
  <c r="AO33" i="1" a="1"/>
  <c r="AO33" i="1" s="1"/>
  <c r="AO32" i="1" a="1"/>
  <c r="AO32" i="1" s="1"/>
  <c r="AO31" i="1" a="1"/>
  <c r="AO31" i="1" s="1"/>
  <c r="AO30" i="1" a="1"/>
  <c r="AO30" i="1" s="1"/>
  <c r="AO29" i="1" a="1"/>
  <c r="AO29" i="1" s="1"/>
  <c r="AO28" i="1" a="1"/>
  <c r="AO28" i="1" s="1"/>
  <c r="AO27" i="1" a="1"/>
  <c r="AO27" i="1" s="1"/>
  <c r="AO23" i="1" a="1"/>
  <c r="AO23" i="1" s="1"/>
  <c r="AO21" i="1" a="1"/>
  <c r="AO21" i="1" s="1"/>
  <c r="AO20" i="1" a="1"/>
  <c r="AO20" i="1" s="1"/>
  <c r="AO19" i="1" a="1"/>
  <c r="AO19" i="1" s="1"/>
  <c r="AO18" i="1" a="1"/>
  <c r="AO18" i="1" s="1"/>
  <c r="AO17" i="1" a="1"/>
  <c r="AO17" i="1" s="1"/>
  <c r="AO16" i="1" a="1"/>
  <c r="AO16" i="1" s="1"/>
  <c r="AO15" i="1" a="1"/>
  <c r="AO15" i="1" s="1"/>
  <c r="AO5" i="1" a="1"/>
  <c r="AO5" i="1" s="1"/>
  <c r="AO6" i="1" a="1"/>
  <c r="AO6" i="1" s="1"/>
  <c r="AO7" i="1" a="1"/>
  <c r="AO7" i="1" s="1"/>
  <c r="AO8" i="1" a="1"/>
  <c r="AO8" i="1" s="1"/>
  <c r="AO9" i="1" a="1"/>
  <c r="AO9" i="1" s="1"/>
  <c r="AO10" i="1" a="1"/>
  <c r="AO10" i="1" s="1"/>
  <c r="AO11" i="1" a="1"/>
  <c r="AO11" i="1" s="1"/>
  <c r="AO4" i="1" a="1"/>
  <c r="AO4" i="1" s="1"/>
  <c r="AM140" i="1" a="1"/>
  <c r="AM140" i="1" s="1"/>
  <c r="AM139" i="1" a="1"/>
  <c r="AM139" i="1" s="1"/>
  <c r="AM138" i="1" a="1"/>
  <c r="AM138" i="1" s="1"/>
  <c r="AM137" i="1" a="1"/>
  <c r="AM137" i="1" s="1"/>
  <c r="AM136" i="1" a="1"/>
  <c r="AM136" i="1" s="1"/>
  <c r="AM135" i="1" a="1"/>
  <c r="AM135" i="1" s="1"/>
  <c r="AM134" i="1" a="1"/>
  <c r="AM134" i="1" s="1"/>
  <c r="AM133" i="1" a="1"/>
  <c r="AM133" i="1" s="1"/>
  <c r="AM132" i="1" a="1"/>
  <c r="AM132" i="1" s="1"/>
  <c r="AM131" i="1" a="1"/>
  <c r="AM131" i="1" s="1"/>
  <c r="AM130" i="1" a="1"/>
  <c r="AM130" i="1" s="1"/>
  <c r="AM129" i="1" a="1"/>
  <c r="AM129" i="1" s="1"/>
  <c r="AM125" i="1" a="1"/>
  <c r="AM125" i="1" s="1"/>
  <c r="AM124" i="1" a="1"/>
  <c r="AM124" i="1" s="1"/>
  <c r="AM123" i="1" a="1"/>
  <c r="AM123" i="1" s="1"/>
  <c r="AM122" i="1" a="1"/>
  <c r="AM122" i="1" s="1"/>
  <c r="AM121" i="1" a="1"/>
  <c r="AM121" i="1" s="1"/>
  <c r="AM120" i="1" a="1"/>
  <c r="AM120" i="1" s="1"/>
  <c r="AM119" i="1" a="1"/>
  <c r="AM119" i="1" s="1"/>
  <c r="AM115" i="1" a="1"/>
  <c r="AM115" i="1" s="1"/>
  <c r="AM114" i="1" a="1"/>
  <c r="AM114" i="1" s="1"/>
  <c r="AM113" i="1" a="1"/>
  <c r="AM113" i="1" s="1"/>
  <c r="AM112" i="1" a="1"/>
  <c r="AM112" i="1" s="1"/>
  <c r="AM111" i="1" a="1"/>
  <c r="AM111" i="1" s="1"/>
  <c r="AM110" i="1" a="1"/>
  <c r="AM110" i="1" s="1"/>
  <c r="AM109" i="1" a="1"/>
  <c r="AM109" i="1" s="1"/>
  <c r="AM105" i="1" a="1"/>
  <c r="AM105" i="1" s="1"/>
  <c r="AM104" i="1" a="1"/>
  <c r="AM104" i="1" s="1"/>
  <c r="AM103" i="1" a="1"/>
  <c r="AM103" i="1" s="1"/>
  <c r="AM102" i="1" a="1"/>
  <c r="AM102" i="1" s="1"/>
  <c r="AM101" i="1" a="1"/>
  <c r="AM101" i="1" s="1"/>
  <c r="AM100" i="1" a="1"/>
  <c r="AM100" i="1" s="1"/>
  <c r="AM99" i="1" a="1"/>
  <c r="AM99" i="1" s="1"/>
  <c r="AM95" i="1" a="1"/>
  <c r="AM95" i="1" s="1"/>
  <c r="AM94" i="1" a="1"/>
  <c r="AM94" i="1" s="1"/>
  <c r="AM93" i="1" a="1"/>
  <c r="AM93" i="1" s="1"/>
  <c r="AM92" i="1" a="1"/>
  <c r="AM92" i="1" s="1"/>
  <c r="AM91" i="1" a="1"/>
  <c r="AM91" i="1" s="1"/>
  <c r="AM90" i="1" a="1"/>
  <c r="AM90" i="1" s="1"/>
  <c r="AM89" i="1" a="1"/>
  <c r="AM89" i="1" s="1"/>
  <c r="AM88" i="1" a="1"/>
  <c r="AM88" i="1" s="1"/>
  <c r="AM87" i="1" a="1"/>
  <c r="AM87" i="1" s="1"/>
  <c r="AM83" i="1" a="1"/>
  <c r="AM83" i="1" s="1"/>
  <c r="AM82" i="1" a="1"/>
  <c r="AM82" i="1" s="1"/>
  <c r="AM81" i="1" a="1"/>
  <c r="AM81" i="1" s="1"/>
  <c r="AM80" i="1" a="1"/>
  <c r="AM80" i="1" s="1"/>
  <c r="AM79" i="1" a="1"/>
  <c r="AM79" i="1" s="1"/>
  <c r="AM78" i="1" a="1"/>
  <c r="AM78" i="1" s="1"/>
  <c r="AM77" i="1" a="1"/>
  <c r="AM77" i="1" s="1"/>
  <c r="AM76" i="1" a="1"/>
  <c r="AM76" i="1" s="1"/>
  <c r="AM75" i="1" a="1"/>
  <c r="AM75" i="1" s="1"/>
  <c r="AM74" i="1" a="1"/>
  <c r="AM74" i="1" s="1"/>
  <c r="AM73" i="1" a="1"/>
  <c r="AM73" i="1" s="1"/>
  <c r="AM72" i="1" a="1"/>
  <c r="AM72" i="1" s="1"/>
  <c r="AM68" i="1" a="1"/>
  <c r="AM68" i="1" s="1"/>
  <c r="AM67" i="1" a="1"/>
  <c r="AM67" i="1" s="1"/>
  <c r="AM66" i="1" a="1"/>
  <c r="AM66" i="1" s="1"/>
  <c r="AM65" i="1" a="1"/>
  <c r="AM65" i="1" s="1"/>
  <c r="AM64" i="1" a="1"/>
  <c r="AM64" i="1" s="1"/>
  <c r="AM63" i="1" a="1"/>
  <c r="AM63" i="1" s="1"/>
  <c r="AM62" i="1" a="1"/>
  <c r="AM62" i="1" s="1"/>
  <c r="AM58" i="1" a="1"/>
  <c r="AM58" i="1" s="1"/>
  <c r="AM57" i="1" a="1"/>
  <c r="AM57" i="1" s="1"/>
  <c r="AM56" i="1" a="1"/>
  <c r="AM56" i="1" s="1"/>
  <c r="AM55" i="1" a="1"/>
  <c r="AM55" i="1" s="1"/>
  <c r="AM54" i="1" a="1"/>
  <c r="AM54" i="1" s="1"/>
  <c r="AM53" i="1" a="1"/>
  <c r="AM53" i="1" s="1"/>
  <c r="AM52" i="1" a="1"/>
  <c r="AM52" i="1" s="1"/>
  <c r="AM51" i="1" a="1"/>
  <c r="AM51" i="1" s="1"/>
  <c r="AM50" i="1" a="1"/>
  <c r="AM50" i="1" s="1"/>
  <c r="AM46" i="1" a="1"/>
  <c r="AM46" i="1" s="1"/>
  <c r="AM45" i="1" a="1"/>
  <c r="AM45" i="1" s="1"/>
  <c r="AM44" i="1" a="1"/>
  <c r="AM44" i="1" s="1"/>
  <c r="AM43" i="1" a="1"/>
  <c r="AM43" i="1" s="1"/>
  <c r="AM42" i="1" a="1"/>
  <c r="AM42" i="1" s="1"/>
  <c r="AM41" i="1" a="1"/>
  <c r="AM41" i="1" s="1"/>
  <c r="AM40" i="1" a="1"/>
  <c r="AM40" i="1" s="1"/>
  <c r="AM36" i="1" a="1"/>
  <c r="AM36" i="1" s="1"/>
  <c r="AM35" i="1" a="1"/>
  <c r="AM35" i="1" s="1"/>
  <c r="AM34" i="1" a="1"/>
  <c r="AM34" i="1" s="1"/>
  <c r="AM33" i="1" a="1"/>
  <c r="AM33" i="1" s="1"/>
  <c r="AM32" i="1" a="1"/>
  <c r="AM32" i="1" s="1"/>
  <c r="AM31" i="1" a="1"/>
  <c r="AM31" i="1" s="1"/>
  <c r="AM30" i="1" a="1"/>
  <c r="AM30" i="1" s="1"/>
  <c r="AM29" i="1" a="1"/>
  <c r="AM29" i="1" s="1"/>
  <c r="AM28" i="1" a="1"/>
  <c r="AM28" i="1" s="1"/>
  <c r="AM27" i="1" a="1"/>
  <c r="AM27" i="1" s="1"/>
  <c r="AM23" i="1" a="1"/>
  <c r="AM23" i="1" s="1"/>
  <c r="AM22" i="1" a="1"/>
  <c r="AM22" i="1" s="1"/>
  <c r="AM21" i="1" a="1"/>
  <c r="AM21" i="1" s="1"/>
  <c r="AM20" i="1" a="1"/>
  <c r="AM20" i="1" s="1"/>
  <c r="AM19" i="1" a="1"/>
  <c r="AM19" i="1" s="1"/>
  <c r="AM18" i="1" a="1"/>
  <c r="AM18" i="1" s="1"/>
  <c r="AM17" i="1" a="1"/>
  <c r="AM17" i="1" s="1"/>
  <c r="AM16" i="1" a="1"/>
  <c r="AM16" i="1" s="1"/>
  <c r="AM15" i="1" a="1"/>
  <c r="AM15" i="1" s="1"/>
  <c r="AM5" i="1" a="1"/>
  <c r="AM5" i="1" s="1"/>
  <c r="AM6" i="1" a="1"/>
  <c r="AM6" i="1" s="1"/>
  <c r="AM7" i="1" a="1"/>
  <c r="AM7" i="1" s="1"/>
  <c r="AM8" i="1" a="1"/>
  <c r="AM8" i="1" s="1"/>
  <c r="AM9" i="1" a="1"/>
  <c r="AM9" i="1" s="1"/>
  <c r="AM10" i="1" a="1"/>
  <c r="AM10" i="1" s="1"/>
  <c r="AM11" i="1" a="1"/>
  <c r="AM11" i="1" s="1"/>
  <c r="AM4" i="1" a="1"/>
  <c r="AM4" i="1" s="1"/>
  <c r="AQ140" i="1" a="1"/>
  <c r="AQ140" i="1" s="1"/>
  <c r="AQ139" i="1" a="1"/>
  <c r="AQ139" i="1" s="1"/>
  <c r="AQ138" i="1" a="1"/>
  <c r="AQ138" i="1" s="1"/>
  <c r="AQ137" i="1" a="1"/>
  <c r="AQ137" i="1" s="1"/>
  <c r="AQ136" i="1" a="1"/>
  <c r="AQ136" i="1" s="1"/>
  <c r="AQ135" i="1" a="1"/>
  <c r="AQ135" i="1" s="1"/>
  <c r="AQ134" i="1" a="1"/>
  <c r="AQ134" i="1" s="1"/>
  <c r="AQ133" i="1" a="1"/>
  <c r="AQ133" i="1" s="1"/>
  <c r="AQ132" i="1" a="1"/>
  <c r="AQ132" i="1" s="1"/>
  <c r="AQ131" i="1" a="1"/>
  <c r="AQ131" i="1" s="1"/>
  <c r="AQ130" i="1" a="1"/>
  <c r="AQ130" i="1" s="1"/>
  <c r="AQ129" i="1" a="1"/>
  <c r="AQ129" i="1" s="1"/>
  <c r="AQ125" i="1" a="1"/>
  <c r="AQ125" i="1" s="1"/>
  <c r="AQ124" i="1" a="1"/>
  <c r="AQ124" i="1" s="1"/>
  <c r="AQ123" i="1" a="1"/>
  <c r="AQ123" i="1" s="1"/>
  <c r="AQ122" i="1" a="1"/>
  <c r="AQ122" i="1" s="1"/>
  <c r="AQ121" i="1" a="1"/>
  <c r="AQ121" i="1" s="1"/>
  <c r="AQ120" i="1" a="1"/>
  <c r="AQ120" i="1" s="1"/>
  <c r="AQ119" i="1" a="1"/>
  <c r="AQ119" i="1" s="1"/>
  <c r="AQ115" i="1" a="1"/>
  <c r="AQ115" i="1" s="1"/>
  <c r="AQ114" i="1" a="1"/>
  <c r="AQ114" i="1" s="1"/>
  <c r="AQ113" i="1" a="1"/>
  <c r="AQ113" i="1" s="1"/>
  <c r="AQ112" i="1" a="1"/>
  <c r="AQ112" i="1" s="1"/>
  <c r="AQ111" i="1" a="1"/>
  <c r="AQ111" i="1" s="1"/>
  <c r="AQ110" i="1" a="1"/>
  <c r="AQ110" i="1" s="1"/>
  <c r="AQ109" i="1" a="1"/>
  <c r="AQ109" i="1" s="1"/>
  <c r="AQ105" i="1" a="1"/>
  <c r="AQ105" i="1" s="1"/>
  <c r="AQ104" i="1" a="1"/>
  <c r="AQ104" i="1" s="1"/>
  <c r="AQ103" i="1" a="1"/>
  <c r="AQ103" i="1" s="1"/>
  <c r="AQ102" i="1" a="1"/>
  <c r="AQ102" i="1" s="1"/>
  <c r="AQ101" i="1" a="1"/>
  <c r="AQ101" i="1" s="1"/>
  <c r="AQ100" i="1" a="1"/>
  <c r="AQ100" i="1" s="1"/>
  <c r="AQ99" i="1" a="1"/>
  <c r="AQ99" i="1" s="1"/>
  <c r="AQ95" i="1" a="1"/>
  <c r="AQ95" i="1" s="1"/>
  <c r="AQ94" i="1" a="1"/>
  <c r="AQ94" i="1" s="1"/>
  <c r="AQ93" i="1" a="1"/>
  <c r="AQ93" i="1" s="1"/>
  <c r="AQ92" i="1" a="1"/>
  <c r="AQ92" i="1" s="1"/>
  <c r="AQ91" i="1" a="1"/>
  <c r="AQ91" i="1" s="1"/>
  <c r="AQ90" i="1" a="1"/>
  <c r="AQ90" i="1" s="1"/>
  <c r="AQ89" i="1" a="1"/>
  <c r="AQ89" i="1" s="1"/>
  <c r="AQ88" i="1" a="1"/>
  <c r="AQ88" i="1" s="1"/>
  <c r="AQ87" i="1" a="1"/>
  <c r="AQ87" i="1" s="1"/>
  <c r="AQ83" i="1" a="1"/>
  <c r="AQ83" i="1" s="1"/>
  <c r="AQ82" i="1" a="1"/>
  <c r="AQ82" i="1" s="1"/>
  <c r="AQ81" i="1" a="1"/>
  <c r="AQ81" i="1" s="1"/>
  <c r="AQ80" i="1" a="1"/>
  <c r="AQ80" i="1" s="1"/>
  <c r="AQ79" i="1" a="1"/>
  <c r="AQ79" i="1" s="1"/>
  <c r="AQ78" i="1" a="1"/>
  <c r="AQ78" i="1" s="1"/>
  <c r="AQ77" i="1" a="1"/>
  <c r="AQ77" i="1" s="1"/>
  <c r="AQ76" i="1" a="1"/>
  <c r="AQ76" i="1" s="1"/>
  <c r="AQ75" i="1" a="1"/>
  <c r="AQ75" i="1" s="1"/>
  <c r="AQ74" i="1" a="1"/>
  <c r="AQ74" i="1" s="1"/>
  <c r="AQ73" i="1" a="1"/>
  <c r="AQ73" i="1" s="1"/>
  <c r="AQ72" i="1" a="1"/>
  <c r="AQ72" i="1" s="1"/>
  <c r="AQ68" i="1" a="1"/>
  <c r="AQ68" i="1" s="1"/>
  <c r="AQ67" i="1" a="1"/>
  <c r="AQ67" i="1" s="1"/>
  <c r="AQ66" i="1" a="1"/>
  <c r="AQ66" i="1" s="1"/>
  <c r="AQ65" i="1" a="1"/>
  <c r="AQ65" i="1" s="1"/>
  <c r="AQ64" i="1" a="1"/>
  <c r="AQ64" i="1" s="1"/>
  <c r="AQ63" i="1" a="1"/>
  <c r="AQ63" i="1" s="1"/>
  <c r="AQ62" i="1" a="1"/>
  <c r="AQ62" i="1" s="1"/>
  <c r="AQ58" i="1" a="1"/>
  <c r="AQ58" i="1" s="1"/>
  <c r="AQ57" i="1" a="1"/>
  <c r="AQ57" i="1" s="1"/>
  <c r="AQ56" i="1" a="1"/>
  <c r="AQ56" i="1" s="1"/>
  <c r="AQ55" i="1" a="1"/>
  <c r="AQ55" i="1" s="1"/>
  <c r="AQ54" i="1" a="1"/>
  <c r="AQ54" i="1" s="1"/>
  <c r="AQ53" i="1" a="1"/>
  <c r="AQ53" i="1" s="1"/>
  <c r="AQ52" i="1" a="1"/>
  <c r="AQ52" i="1" s="1"/>
  <c r="AQ51" i="1" a="1"/>
  <c r="AQ51" i="1" s="1"/>
  <c r="AQ50" i="1" a="1"/>
  <c r="AQ50" i="1" s="1"/>
  <c r="AQ46" i="1" a="1"/>
  <c r="AQ46" i="1" s="1"/>
  <c r="AQ45" i="1" a="1"/>
  <c r="AQ45" i="1" s="1"/>
  <c r="AQ44" i="1" a="1"/>
  <c r="AQ44" i="1" s="1"/>
  <c r="AQ43" i="1" a="1"/>
  <c r="AQ43" i="1" s="1"/>
  <c r="AQ42" i="1" a="1"/>
  <c r="AQ42" i="1" s="1"/>
  <c r="AQ41" i="1" a="1"/>
  <c r="AQ41" i="1" s="1"/>
  <c r="AQ40" i="1" a="1"/>
  <c r="AQ40" i="1" s="1"/>
  <c r="AQ36" i="1" a="1"/>
  <c r="AQ36" i="1" s="1"/>
  <c r="AQ35" i="1" a="1"/>
  <c r="AQ35" i="1" s="1"/>
  <c r="AQ34" i="1" a="1"/>
  <c r="AQ34" i="1" s="1"/>
  <c r="AQ33" i="1" a="1"/>
  <c r="AQ33" i="1" s="1"/>
  <c r="AQ32" i="1" a="1"/>
  <c r="AQ32" i="1" s="1"/>
  <c r="AQ31" i="1" a="1"/>
  <c r="AQ31" i="1" s="1"/>
  <c r="AQ30" i="1" a="1"/>
  <c r="AQ30" i="1" s="1"/>
  <c r="AQ29" i="1" a="1"/>
  <c r="AQ29" i="1" s="1"/>
  <c r="AQ28" i="1" a="1"/>
  <c r="AQ28" i="1" s="1"/>
  <c r="AQ27" i="1" a="1"/>
  <c r="AQ27" i="1" s="1"/>
  <c r="AQ23" i="1" a="1"/>
  <c r="AQ23" i="1" s="1"/>
  <c r="AQ22" i="1" a="1"/>
  <c r="AQ22" i="1" s="1"/>
  <c r="AQ21" i="1" a="1"/>
  <c r="AQ21" i="1" s="1"/>
  <c r="AQ20" i="1" a="1"/>
  <c r="AQ20" i="1" s="1"/>
  <c r="AQ19" i="1" a="1"/>
  <c r="AQ19" i="1" s="1"/>
  <c r="AQ18" i="1" a="1"/>
  <c r="AQ18" i="1" s="1"/>
  <c r="AQ17" i="1" a="1"/>
  <c r="AQ17" i="1" s="1"/>
  <c r="AQ16" i="1" a="1"/>
  <c r="AQ16" i="1" s="1"/>
  <c r="AQ15" i="1" a="1"/>
  <c r="AQ15" i="1" s="1"/>
  <c r="AQ5" i="1" a="1"/>
  <c r="AQ5" i="1" s="1"/>
  <c r="AQ6" i="1" a="1"/>
  <c r="AQ6" i="1" s="1"/>
  <c r="AQ7" i="1" a="1"/>
  <c r="AQ7" i="1" s="1"/>
  <c r="AQ8" i="1" a="1"/>
  <c r="AQ8" i="1" s="1"/>
  <c r="AQ9" i="1" a="1"/>
  <c r="AQ9" i="1" s="1"/>
  <c r="AQ10" i="1" a="1"/>
  <c r="AQ10" i="1" s="1"/>
  <c r="AQ11" i="1" a="1"/>
  <c r="AQ11" i="1" s="1"/>
  <c r="AQ4" i="1" a="1"/>
  <c r="AQ4" i="1" s="1"/>
  <c r="AI95" i="1"/>
  <c r="AI114" i="1"/>
  <c r="AI120" i="1"/>
  <c r="Z5" i="1" a="1"/>
  <c r="Z5" i="1" s="1"/>
  <c r="Z6" i="1" a="1"/>
  <c r="Z6" i="1" s="1"/>
  <c r="Z7" i="1" a="1"/>
  <c r="Z7" i="1" s="1"/>
  <c r="Z8" i="1" a="1"/>
  <c r="Z8" i="1" s="1"/>
  <c r="Z9" i="1" a="1"/>
  <c r="Z9" i="1" s="1"/>
  <c r="Z10" i="1" a="1"/>
  <c r="Z10" i="1" s="1"/>
  <c r="Z11" i="1" a="1"/>
  <c r="Z11" i="1" s="1"/>
  <c r="Z15" i="1" a="1"/>
  <c r="Z15" i="1" s="1"/>
  <c r="Z16" i="1" a="1"/>
  <c r="Z16" i="1" s="1"/>
  <c r="Z17" i="1" a="1"/>
  <c r="Z17" i="1" s="1"/>
  <c r="Z18" i="1" a="1"/>
  <c r="Z18" i="1" s="1"/>
  <c r="Z19" i="1" a="1"/>
  <c r="Z19" i="1" s="1"/>
  <c r="Z20" i="1" a="1"/>
  <c r="Z20" i="1" s="1"/>
  <c r="Z21" i="1" a="1"/>
  <c r="Z21" i="1" s="1"/>
  <c r="Z22" i="1" a="1"/>
  <c r="Z22" i="1" s="1"/>
  <c r="Z23" i="1" a="1"/>
  <c r="Z23" i="1" s="1"/>
  <c r="Z27" i="1" a="1"/>
  <c r="Z27" i="1" s="1"/>
  <c r="Z28" i="1" a="1"/>
  <c r="Z28" i="1" s="1"/>
  <c r="Z29" i="1" a="1"/>
  <c r="Z29" i="1" s="1"/>
  <c r="Z30" i="1" a="1"/>
  <c r="Z30" i="1" s="1"/>
  <c r="Z31" i="1" a="1"/>
  <c r="Z31" i="1" s="1"/>
  <c r="Z32" i="1" a="1"/>
  <c r="Z32" i="1" s="1"/>
  <c r="Z33" i="1" a="1"/>
  <c r="Z33" i="1" s="1"/>
  <c r="Z34" i="1" a="1"/>
  <c r="Z34" i="1" s="1"/>
  <c r="Z35" i="1" a="1"/>
  <c r="Z35" i="1" s="1"/>
  <c r="Z36" i="1" a="1"/>
  <c r="Z36" i="1" s="1"/>
  <c r="Z40" i="1" a="1"/>
  <c r="Z40" i="1" s="1"/>
  <c r="Z41" i="1" a="1"/>
  <c r="Z41" i="1" s="1"/>
  <c r="Z42" i="1" a="1"/>
  <c r="Z42" i="1" s="1"/>
  <c r="Z43" i="1" a="1"/>
  <c r="Z43" i="1" s="1"/>
  <c r="Z44" i="1" a="1"/>
  <c r="Z44" i="1" s="1"/>
  <c r="Z45" i="1" a="1"/>
  <c r="Z45" i="1" s="1"/>
  <c r="Z46" i="1" a="1"/>
  <c r="Z46" i="1" s="1"/>
  <c r="Z50" i="1" a="1"/>
  <c r="Z50" i="1" s="1"/>
  <c r="Z51" i="1" a="1"/>
  <c r="Z51" i="1" s="1"/>
  <c r="Z52" i="1" a="1"/>
  <c r="Z52" i="1" s="1"/>
  <c r="Z53" i="1" a="1"/>
  <c r="Z53" i="1" s="1"/>
  <c r="Z54" i="1" a="1"/>
  <c r="Z54" i="1" s="1"/>
  <c r="Z55" i="1" a="1"/>
  <c r="Z55" i="1" s="1"/>
  <c r="Z56" i="1" a="1"/>
  <c r="Z56" i="1" s="1"/>
  <c r="Z57" i="1" a="1"/>
  <c r="Z57" i="1" s="1"/>
  <c r="Z58" i="1" a="1"/>
  <c r="Z58" i="1" s="1"/>
  <c r="Z62" i="1" a="1"/>
  <c r="Z62" i="1" s="1"/>
  <c r="Z63" i="1" a="1"/>
  <c r="Z63" i="1" s="1"/>
  <c r="Z64" i="1" a="1"/>
  <c r="Z64" i="1" s="1"/>
  <c r="Z65" i="1" a="1"/>
  <c r="Z65" i="1" s="1"/>
  <c r="Z66" i="1" a="1"/>
  <c r="Z66" i="1" s="1"/>
  <c r="Z67" i="1" a="1"/>
  <c r="Z67" i="1" s="1"/>
  <c r="Z68" i="1" a="1"/>
  <c r="Z68" i="1" s="1"/>
  <c r="Z72" i="1" a="1"/>
  <c r="Z72" i="1" s="1"/>
  <c r="Z73" i="1" a="1"/>
  <c r="Z73" i="1" s="1"/>
  <c r="Z74" i="1" a="1"/>
  <c r="Z74" i="1" s="1"/>
  <c r="Z75" i="1" a="1"/>
  <c r="Z75" i="1" s="1"/>
  <c r="Z76" i="1" a="1"/>
  <c r="Z76" i="1" s="1"/>
  <c r="Z77" i="1" a="1"/>
  <c r="Z77" i="1" s="1"/>
  <c r="Z78" i="1" a="1"/>
  <c r="Z78" i="1" s="1"/>
  <c r="Z79" i="1" a="1"/>
  <c r="Z79" i="1" s="1"/>
  <c r="Z80" i="1" a="1"/>
  <c r="Z80" i="1" s="1"/>
  <c r="Z81" i="1" a="1"/>
  <c r="Z81" i="1" s="1"/>
  <c r="Z82" i="1" a="1"/>
  <c r="Z82" i="1" s="1"/>
  <c r="Z83" i="1" a="1"/>
  <c r="Z83" i="1" s="1"/>
  <c r="Z87" i="1" a="1"/>
  <c r="Z87" i="1" s="1"/>
  <c r="Z88" i="1" a="1"/>
  <c r="Z88" i="1" s="1"/>
  <c r="Z89" i="1" a="1"/>
  <c r="Z89" i="1" s="1"/>
  <c r="Z90" i="1" a="1"/>
  <c r="Z90" i="1" s="1"/>
  <c r="Z91" i="1" a="1"/>
  <c r="Z91" i="1" s="1"/>
  <c r="Z92" i="1" a="1"/>
  <c r="Z92" i="1" s="1"/>
  <c r="Z93" i="1" a="1"/>
  <c r="Z93" i="1" s="1"/>
  <c r="Z94" i="1" a="1"/>
  <c r="Z94" i="1" s="1"/>
  <c r="Z95" i="1" a="1"/>
  <c r="Z95" i="1" s="1"/>
  <c r="Z99" i="1" a="1"/>
  <c r="Z99" i="1" s="1"/>
  <c r="Z100" i="1" a="1"/>
  <c r="Z100" i="1" s="1"/>
  <c r="Z101" i="1" a="1"/>
  <c r="Z101" i="1" s="1"/>
  <c r="Z102" i="1" a="1"/>
  <c r="Z102" i="1" s="1"/>
  <c r="Z103" i="1" a="1"/>
  <c r="Z103" i="1" s="1"/>
  <c r="Z104" i="1" a="1"/>
  <c r="Z104" i="1" s="1"/>
  <c r="Z105" i="1" a="1"/>
  <c r="Z105" i="1" s="1"/>
  <c r="Z109" i="1" a="1"/>
  <c r="Z109" i="1" s="1"/>
  <c r="Z110" i="1" a="1"/>
  <c r="Z110" i="1" s="1"/>
  <c r="Z111" i="1" a="1"/>
  <c r="Z111" i="1" s="1"/>
  <c r="Z112" i="1" a="1"/>
  <c r="Z112" i="1" s="1"/>
  <c r="Z113" i="1" a="1"/>
  <c r="Z113" i="1" s="1"/>
  <c r="Z114" i="1" a="1"/>
  <c r="Z114" i="1" s="1"/>
  <c r="Z115" i="1" a="1"/>
  <c r="Z115" i="1" s="1"/>
  <c r="Z119" i="1" a="1"/>
  <c r="Z119" i="1" s="1"/>
  <c r="Z120" i="1" a="1"/>
  <c r="Z120" i="1" s="1"/>
  <c r="Z121" i="1" a="1"/>
  <c r="Z121" i="1" s="1"/>
  <c r="Z122" i="1" a="1"/>
  <c r="Z122" i="1" s="1"/>
  <c r="Z123" i="1" a="1"/>
  <c r="Z123" i="1" s="1"/>
  <c r="Z124" i="1" a="1"/>
  <c r="Z124" i="1" s="1"/>
  <c r="Z125" i="1" a="1"/>
  <c r="Z125" i="1" s="1"/>
  <c r="Z129" i="1" a="1"/>
  <c r="Z129" i="1" s="1"/>
  <c r="Z130" i="1" a="1"/>
  <c r="Z130" i="1" s="1"/>
  <c r="Z131" i="1" a="1"/>
  <c r="Z131" i="1" s="1"/>
  <c r="Z132" i="1" a="1"/>
  <c r="Z132" i="1" s="1"/>
  <c r="Z133" i="1" a="1"/>
  <c r="Z133" i="1" s="1"/>
  <c r="Z134" i="1" a="1"/>
  <c r="Z134" i="1" s="1"/>
  <c r="Z135" i="1" a="1"/>
  <c r="Z135" i="1" s="1"/>
  <c r="Z136" i="1" a="1"/>
  <c r="Z136" i="1" s="1"/>
  <c r="Z137" i="1" a="1"/>
  <c r="Z137" i="1" s="1"/>
  <c r="Z138" i="1" a="1"/>
  <c r="Z138" i="1" s="1"/>
  <c r="Z139" i="1" a="1"/>
  <c r="Z139" i="1" s="1"/>
  <c r="Z140" i="1" a="1"/>
  <c r="Z140" i="1" s="1"/>
  <c r="Z4" i="1" a="1"/>
  <c r="Z4" i="1" s="1"/>
  <c r="BC140" i="1" a="1"/>
  <c r="BC140" i="1" s="1"/>
  <c r="BC139" i="1" a="1"/>
  <c r="BC139" i="1" s="1"/>
  <c r="BC138" i="1" a="1"/>
  <c r="BC138" i="1" s="1"/>
  <c r="BC137" i="1" a="1"/>
  <c r="BC137" i="1" s="1"/>
  <c r="BC136" i="1" a="1"/>
  <c r="BC136" i="1" s="1"/>
  <c r="BC135" i="1" a="1"/>
  <c r="BC135" i="1" s="1"/>
  <c r="BC134" i="1" a="1"/>
  <c r="BC134" i="1" s="1"/>
  <c r="BC133" i="1" a="1"/>
  <c r="BC133" i="1" s="1"/>
  <c r="BC132" i="1" a="1"/>
  <c r="BC132" i="1" s="1"/>
  <c r="BC131" i="1" a="1"/>
  <c r="BC131" i="1" s="1"/>
  <c r="BC130" i="1" a="1"/>
  <c r="BC130" i="1" s="1"/>
  <c r="BC129" i="1" a="1"/>
  <c r="BC129" i="1" s="1"/>
  <c r="BC125" i="1" a="1"/>
  <c r="BC125" i="1" s="1"/>
  <c r="BC124" i="1" a="1"/>
  <c r="BC124" i="1" s="1"/>
  <c r="BC123" i="1" a="1"/>
  <c r="BC123" i="1" s="1"/>
  <c r="BC122" i="1" a="1"/>
  <c r="BC122" i="1" s="1"/>
  <c r="BC121" i="1" a="1"/>
  <c r="BC121" i="1" s="1"/>
  <c r="BC120" i="1" a="1"/>
  <c r="BC120" i="1" s="1"/>
  <c r="BC119" i="1" a="1"/>
  <c r="BC119" i="1" s="1"/>
  <c r="BC115" i="1" a="1"/>
  <c r="BC115" i="1" s="1"/>
  <c r="BC114" i="1" a="1"/>
  <c r="BC114" i="1" s="1"/>
  <c r="BC113" i="1" a="1"/>
  <c r="BC113" i="1" s="1"/>
  <c r="BC112" i="1" a="1"/>
  <c r="BC112" i="1" s="1"/>
  <c r="BC111" i="1" a="1"/>
  <c r="BC111" i="1" s="1"/>
  <c r="BC110" i="1" a="1"/>
  <c r="BC110" i="1" s="1"/>
  <c r="BC109" i="1" a="1"/>
  <c r="BC109" i="1" s="1"/>
  <c r="BC105" i="1" a="1"/>
  <c r="BC105" i="1" s="1"/>
  <c r="BC104" i="1" a="1"/>
  <c r="BC104" i="1" s="1"/>
  <c r="BC103" i="1" a="1"/>
  <c r="BC103" i="1" s="1"/>
  <c r="BC102" i="1" a="1"/>
  <c r="BC102" i="1" s="1"/>
  <c r="BC101" i="1" a="1"/>
  <c r="BC101" i="1" s="1"/>
  <c r="BC100" i="1" a="1"/>
  <c r="BC100" i="1" s="1"/>
  <c r="BC99" i="1" a="1"/>
  <c r="BC99" i="1" s="1"/>
  <c r="BC95" i="1" a="1"/>
  <c r="BC95" i="1" s="1"/>
  <c r="BC94" i="1" a="1"/>
  <c r="BC94" i="1" s="1"/>
  <c r="BC93" i="1" a="1"/>
  <c r="BC93" i="1" s="1"/>
  <c r="BC92" i="1" a="1"/>
  <c r="BC92" i="1" s="1"/>
  <c r="BC91" i="1" a="1"/>
  <c r="BC91" i="1" s="1"/>
  <c r="BC90" i="1" a="1"/>
  <c r="BC90" i="1" s="1"/>
  <c r="BC89" i="1" a="1"/>
  <c r="BC89" i="1" s="1"/>
  <c r="BC87" i="1" a="1"/>
  <c r="BC87" i="1" s="1"/>
  <c r="BC83" i="1" a="1"/>
  <c r="BC83" i="1" s="1"/>
  <c r="BC82" i="1" a="1"/>
  <c r="BC82" i="1" s="1"/>
  <c r="BC81" i="1" a="1"/>
  <c r="BC81" i="1" s="1"/>
  <c r="BC80" i="1" a="1"/>
  <c r="BC80" i="1" s="1"/>
  <c r="BC79" i="1" a="1"/>
  <c r="BC79" i="1" s="1"/>
  <c r="BC78" i="1" a="1"/>
  <c r="BC78" i="1" s="1"/>
  <c r="BC77" i="1" a="1"/>
  <c r="BC77" i="1" s="1"/>
  <c r="BC76" i="1" a="1"/>
  <c r="BC76" i="1" s="1"/>
  <c r="BC75" i="1" a="1"/>
  <c r="BC75" i="1" s="1"/>
  <c r="BC74" i="1" a="1"/>
  <c r="BC74" i="1" s="1"/>
  <c r="BC73" i="1" a="1"/>
  <c r="BC73" i="1" s="1"/>
  <c r="BC72" i="1" a="1"/>
  <c r="BC72" i="1" s="1"/>
  <c r="BC68" i="1" a="1"/>
  <c r="BC68" i="1" s="1"/>
  <c r="BC67" i="1" a="1"/>
  <c r="BC67" i="1" s="1"/>
  <c r="BC66" i="1" a="1"/>
  <c r="BC66" i="1" s="1"/>
  <c r="BC65" i="1" a="1"/>
  <c r="BC65" i="1" s="1"/>
  <c r="BC64" i="1" a="1"/>
  <c r="BC64" i="1" s="1"/>
  <c r="BC63" i="1" a="1"/>
  <c r="BC63" i="1" s="1"/>
  <c r="BC62" i="1" a="1"/>
  <c r="BC62" i="1" s="1"/>
  <c r="BC58" i="1" a="1"/>
  <c r="BC58" i="1" s="1"/>
  <c r="BC57" i="1" a="1"/>
  <c r="BC57" i="1" s="1"/>
  <c r="BC56" i="1" a="1"/>
  <c r="BC56" i="1" s="1"/>
  <c r="BC55" i="1" a="1"/>
  <c r="BC55" i="1" s="1"/>
  <c r="BC54" i="1" a="1"/>
  <c r="BC54" i="1" s="1"/>
  <c r="BC53" i="1" a="1"/>
  <c r="BC53" i="1" s="1"/>
  <c r="BC51" i="1" a="1"/>
  <c r="BC51" i="1" s="1"/>
  <c r="BC50" i="1" a="1"/>
  <c r="BC50" i="1" s="1"/>
  <c r="BC46" i="1" a="1"/>
  <c r="BC46" i="1" s="1"/>
  <c r="BC45" i="1" a="1"/>
  <c r="BC45" i="1" s="1"/>
  <c r="BC44" i="1" a="1"/>
  <c r="BC44" i="1" s="1"/>
  <c r="BC43" i="1" a="1"/>
  <c r="BC43" i="1" s="1"/>
  <c r="BC42" i="1" a="1"/>
  <c r="BC42" i="1" s="1"/>
  <c r="BC41" i="1" a="1"/>
  <c r="BC41" i="1" s="1"/>
  <c r="BC40" i="1" a="1"/>
  <c r="BC40" i="1" s="1"/>
  <c r="BC36" i="1" a="1"/>
  <c r="BC36" i="1" s="1"/>
  <c r="BC35" i="1" a="1"/>
  <c r="BC35" i="1" s="1"/>
  <c r="BC34" i="1" a="1"/>
  <c r="BC34" i="1" s="1"/>
  <c r="BC33" i="1" a="1"/>
  <c r="BC33" i="1" s="1"/>
  <c r="BC32" i="1" a="1"/>
  <c r="BC32" i="1" s="1"/>
  <c r="BC31" i="1" a="1"/>
  <c r="BC31" i="1" s="1"/>
  <c r="BC30" i="1" a="1"/>
  <c r="BC30" i="1" s="1"/>
  <c r="BC29" i="1" a="1"/>
  <c r="BC29" i="1" s="1"/>
  <c r="BC28" i="1" a="1"/>
  <c r="BC28" i="1" s="1"/>
  <c r="BC27" i="1" a="1"/>
  <c r="BC27" i="1" s="1"/>
  <c r="BC23" i="1" a="1"/>
  <c r="BC23" i="1" s="1"/>
  <c r="BC22" i="1" a="1"/>
  <c r="BC22" i="1" s="1"/>
  <c r="BC21" i="1" a="1"/>
  <c r="BC21" i="1" s="1"/>
  <c r="BC20" i="1" a="1"/>
  <c r="BC20" i="1" s="1"/>
  <c r="BC19" i="1" a="1"/>
  <c r="BC19" i="1" s="1"/>
  <c r="BC18" i="1" a="1"/>
  <c r="BC18" i="1" s="1"/>
  <c r="BC17" i="1" a="1"/>
  <c r="BC17" i="1" s="1"/>
  <c r="BC16" i="1" a="1"/>
  <c r="BC16" i="1" s="1"/>
  <c r="BC15" i="1" a="1"/>
  <c r="BC15" i="1" s="1"/>
  <c r="BC5" i="1" a="1"/>
  <c r="BC5" i="1" s="1"/>
  <c r="BC6" i="1" a="1"/>
  <c r="BC6" i="1" s="1"/>
  <c r="BC7" i="1" a="1"/>
  <c r="BC7" i="1" s="1"/>
  <c r="BC8" i="1" a="1"/>
  <c r="BC8" i="1" s="1"/>
  <c r="BC9" i="1" a="1"/>
  <c r="BC9" i="1" s="1"/>
  <c r="BC10" i="1" a="1"/>
  <c r="BC10" i="1" s="1"/>
  <c r="BC11" i="1" a="1"/>
  <c r="BC11" i="1" s="1"/>
  <c r="BC4" i="1" a="1"/>
  <c r="BC4" i="1" s="1"/>
  <c r="Q140" i="1" a="1"/>
  <c r="Q140" i="1" s="1"/>
  <c r="Q139" i="1" a="1"/>
  <c r="Q139" i="1" s="1"/>
  <c r="Q135" i="1" a="1"/>
  <c r="Q135" i="1" s="1"/>
  <c r="Q134" i="1" a="1"/>
  <c r="Q134" i="1" s="1"/>
  <c r="Q133" i="1" a="1"/>
  <c r="Q133" i="1" s="1"/>
  <c r="Q132" i="1" a="1"/>
  <c r="Q132" i="1" s="1"/>
  <c r="Q131" i="1" a="1"/>
  <c r="Q131" i="1" s="1"/>
  <c r="Q130" i="1" a="1"/>
  <c r="Q130" i="1" s="1"/>
  <c r="Q129" i="1" a="1"/>
  <c r="Q129" i="1" s="1"/>
  <c r="Q125" i="1" a="1"/>
  <c r="Q125" i="1" s="1"/>
  <c r="Q124" i="1" a="1"/>
  <c r="Q124" i="1" s="1"/>
  <c r="Q120" i="1" a="1"/>
  <c r="Q120" i="1" s="1"/>
  <c r="Q119" i="1" a="1"/>
  <c r="Q119" i="1" s="1"/>
  <c r="Q115" i="1" a="1"/>
  <c r="Q115" i="1" s="1"/>
  <c r="Q114" i="1" a="1"/>
  <c r="Q114" i="1" s="1"/>
  <c r="Q113" i="1" a="1"/>
  <c r="Q113" i="1" s="1"/>
  <c r="Q112" i="1" a="1"/>
  <c r="Q112" i="1" s="1"/>
  <c r="Q111" i="1" a="1"/>
  <c r="Q111" i="1" s="1"/>
  <c r="Q110" i="1" a="1"/>
  <c r="Q110" i="1" s="1"/>
  <c r="Q109" i="1" a="1"/>
  <c r="Q109" i="1" s="1"/>
  <c r="Q105" i="1" a="1"/>
  <c r="Q105" i="1" s="1"/>
  <c r="Q104" i="1" a="1"/>
  <c r="Q104" i="1" s="1"/>
  <c r="Q100" i="1" a="1"/>
  <c r="Q100" i="1" s="1"/>
  <c r="Q99" i="1" a="1"/>
  <c r="Q99" i="1" s="1"/>
  <c r="Q95" i="1" a="1"/>
  <c r="Q95" i="1" s="1"/>
  <c r="Q94" i="1" a="1"/>
  <c r="Q94" i="1" s="1"/>
  <c r="Q93" i="1" a="1"/>
  <c r="Q93" i="1" s="1"/>
  <c r="Q92" i="1" a="1"/>
  <c r="Q92" i="1" s="1"/>
  <c r="Q91" i="1" a="1"/>
  <c r="Q91" i="1" s="1"/>
  <c r="Q90" i="1" a="1"/>
  <c r="Q90" i="1" s="1"/>
  <c r="Q89" i="1" a="1"/>
  <c r="Q89" i="1" s="1"/>
  <c r="Q88" i="1" a="1"/>
  <c r="Q88" i="1" s="1"/>
  <c r="Q87" i="1" a="1"/>
  <c r="Q87" i="1" s="1"/>
  <c r="Q83" i="1" a="1"/>
  <c r="Q83" i="1" s="1"/>
  <c r="Q82" i="1" a="1"/>
  <c r="Q82" i="1" s="1"/>
  <c r="Q81" i="1" a="1"/>
  <c r="Q81" i="1" s="1"/>
  <c r="Q80" i="1" a="1"/>
  <c r="Q80" i="1" s="1"/>
  <c r="Q79" i="1" a="1"/>
  <c r="Q79" i="1" s="1"/>
  <c r="Q78" i="1" a="1"/>
  <c r="Q78" i="1" s="1"/>
  <c r="Q77" i="1" a="1"/>
  <c r="Q77" i="1" s="1"/>
  <c r="Q76" i="1" a="1"/>
  <c r="Q76" i="1" s="1"/>
  <c r="Q75" i="1" a="1"/>
  <c r="Q75" i="1" s="1"/>
  <c r="Q73" i="1" a="1"/>
  <c r="Q73" i="1" s="1"/>
  <c r="Q72" i="1" a="1"/>
  <c r="Q72" i="1" s="1"/>
  <c r="Q67" i="1" a="1"/>
  <c r="Q67" i="1" s="1"/>
  <c r="Q66" i="1" a="1"/>
  <c r="Q66" i="1" s="1"/>
  <c r="Q65" i="1" a="1"/>
  <c r="Q65" i="1" s="1"/>
  <c r="Q64" i="1" a="1"/>
  <c r="Q64" i="1" s="1"/>
  <c r="Q63" i="1" a="1"/>
  <c r="Q63" i="1" s="1"/>
  <c r="Q62" i="1" a="1"/>
  <c r="Q62" i="1" s="1"/>
  <c r="Q58" i="1" a="1"/>
  <c r="Q58" i="1" s="1"/>
  <c r="Q55" i="1" a="1"/>
  <c r="Q55" i="1" s="1"/>
  <c r="Q54" i="1" a="1"/>
  <c r="Q54" i="1" s="1"/>
  <c r="Q53" i="1" a="1"/>
  <c r="Q53" i="1" s="1"/>
  <c r="Q52" i="1" a="1"/>
  <c r="Q52" i="1" s="1"/>
  <c r="Q51" i="1" a="1"/>
  <c r="Q51" i="1" s="1"/>
  <c r="Q50" i="1" a="1"/>
  <c r="Q50" i="1" s="1"/>
  <c r="Q46" i="1" a="1"/>
  <c r="Q46" i="1" s="1"/>
  <c r="Q45" i="1" a="1"/>
  <c r="Q45" i="1" s="1"/>
  <c r="Q44" i="1" a="1"/>
  <c r="Q44" i="1" s="1"/>
  <c r="Q43" i="1" a="1"/>
  <c r="Q43" i="1" s="1"/>
  <c r="Q42" i="1" a="1"/>
  <c r="Q42" i="1" s="1"/>
  <c r="Q36" i="1" a="1"/>
  <c r="Q36" i="1" s="1"/>
  <c r="Q35" i="1" a="1"/>
  <c r="Q35" i="1" s="1"/>
  <c r="Q33" i="1" a="1"/>
  <c r="Q33" i="1" s="1"/>
  <c r="Q32" i="1" a="1"/>
  <c r="Q32" i="1" s="1"/>
  <c r="Q31" i="1" a="1"/>
  <c r="Q31" i="1" s="1"/>
  <c r="Q30" i="1" a="1"/>
  <c r="Q30" i="1" s="1"/>
  <c r="Q29" i="1" a="1"/>
  <c r="Q29" i="1" s="1"/>
  <c r="Q28" i="1" a="1"/>
  <c r="Q28" i="1" s="1"/>
  <c r="Q27" i="1" a="1"/>
  <c r="Q27" i="1" s="1"/>
  <c r="Q23" i="1" a="1"/>
  <c r="Q23" i="1" s="1"/>
  <c r="Q22" i="1" a="1"/>
  <c r="Q22" i="1" s="1"/>
  <c r="Q21" i="1" a="1"/>
  <c r="Q21" i="1" s="1"/>
  <c r="Q20" i="1" a="1"/>
  <c r="Q20" i="1" s="1"/>
  <c r="Q19" i="1" a="1"/>
  <c r="Q19" i="1" s="1"/>
  <c r="Q18" i="1" a="1"/>
  <c r="Q18" i="1" s="1"/>
  <c r="Q17" i="1" a="1"/>
  <c r="Q17" i="1" s="1"/>
  <c r="Q16" i="1" a="1"/>
  <c r="Q16" i="1" s="1"/>
  <c r="Q15" i="1" a="1"/>
  <c r="Q15" i="1" s="1"/>
  <c r="Q5" i="1" a="1"/>
  <c r="Q5" i="1" s="1"/>
  <c r="Q7" i="1" a="1"/>
  <c r="Q7" i="1" s="1"/>
  <c r="Q8" i="1" a="1"/>
  <c r="Q8" i="1" s="1"/>
  <c r="Q9" i="1" a="1"/>
  <c r="Q9" i="1" s="1"/>
  <c r="Q10" i="1" a="1"/>
  <c r="Q10" i="1" s="1"/>
  <c r="Q11" i="1" a="1"/>
  <c r="Q11" i="1" s="1"/>
  <c r="Q4" i="1" a="1"/>
  <c r="Q4" i="1" s="1"/>
  <c r="Q138" i="1" a="1"/>
  <c r="Q138" i="1" s="1"/>
  <c r="Q137" i="1" a="1"/>
  <c r="Q137" i="1" s="1"/>
  <c r="Q136" i="1" a="1"/>
  <c r="Q136" i="1" s="1"/>
  <c r="Q123" i="1" a="1"/>
  <c r="Q123" i="1" s="1"/>
  <c r="Q122" i="1" a="1"/>
  <c r="Q122" i="1" s="1"/>
  <c r="Q121" i="1" a="1"/>
  <c r="Q121" i="1" s="1"/>
  <c r="Q103" i="1" a="1"/>
  <c r="Q103" i="1" s="1"/>
  <c r="Q102" i="1" a="1"/>
  <c r="Q102" i="1" s="1"/>
  <c r="Q101" i="1" a="1"/>
  <c r="Q101" i="1" s="1"/>
  <c r="Q74" i="1" a="1"/>
  <c r="Q74" i="1" s="1"/>
  <c r="Q68" i="1" a="1"/>
  <c r="Q68" i="1" s="1"/>
  <c r="Q57" i="1" a="1"/>
  <c r="Q57" i="1" s="1"/>
  <c r="Q56" i="1" a="1"/>
  <c r="Q56" i="1" s="1"/>
  <c r="Q41" i="1" a="1"/>
  <c r="Q41" i="1" s="1"/>
  <c r="Q40" i="1" a="1"/>
  <c r="Q40" i="1" s="1"/>
  <c r="Q34" i="1" a="1"/>
  <c r="Q34" i="1" s="1"/>
  <c r="Q6" i="1" a="1"/>
  <c r="Q6" i="1" s="1"/>
  <c r="G4" i="1"/>
  <c r="H4" i="1" s="1" a="1"/>
  <c r="H4" i="1" s="1"/>
  <c r="M78" i="1"/>
  <c r="M79" i="1"/>
  <c r="M80" i="1"/>
  <c r="AI134" i="1" l="1"/>
  <c r="AI94" i="1"/>
  <c r="AI112" i="1"/>
  <c r="AI87" i="1"/>
  <c r="AI58" i="1"/>
  <c r="AI121" i="1"/>
  <c r="AI122" i="1"/>
  <c r="AI52" i="1"/>
  <c r="AI135" i="1"/>
  <c r="AI125" i="1"/>
  <c r="AI102" i="1"/>
  <c r="AI83" i="1"/>
  <c r="AI54" i="1"/>
  <c r="AI9" i="1"/>
  <c r="AI136" i="1"/>
  <c r="AI109" i="1"/>
  <c r="AI103" i="1"/>
  <c r="AI62" i="1"/>
  <c r="AI55" i="1"/>
  <c r="AI10" i="1"/>
  <c r="AI137" i="1"/>
  <c r="AI63" i="1"/>
  <c r="AI56" i="1"/>
  <c r="AI29" i="1"/>
  <c r="AI11" i="1"/>
  <c r="AI64" i="1"/>
  <c r="AI19" i="1"/>
  <c r="AI36" i="1"/>
  <c r="AI140" i="1"/>
  <c r="AI139" i="1"/>
  <c r="AI138" i="1"/>
  <c r="AI133" i="1"/>
  <c r="AI132" i="1"/>
  <c r="AI131" i="1"/>
  <c r="AI130" i="1"/>
  <c r="AI129" i="1"/>
  <c r="AI124" i="1"/>
  <c r="AI123" i="1"/>
  <c r="AI119" i="1"/>
  <c r="AI115" i="1"/>
  <c r="AI113" i="1"/>
  <c r="AI111" i="1"/>
  <c r="AI110" i="1"/>
  <c r="AI105" i="1"/>
  <c r="AI104" i="1"/>
  <c r="AI101" i="1"/>
  <c r="AI100" i="1"/>
  <c r="AI99" i="1"/>
  <c r="AI93" i="1"/>
  <c r="AI92" i="1"/>
  <c r="AI91" i="1"/>
  <c r="AI90" i="1"/>
  <c r="AI89" i="1"/>
  <c r="AI88" i="1"/>
  <c r="AI82" i="1"/>
  <c r="AI81" i="1"/>
  <c r="AI80" i="1"/>
  <c r="AI79" i="1"/>
  <c r="AI78" i="1"/>
  <c r="AI77" i="1"/>
  <c r="AI76" i="1"/>
  <c r="AI75" i="1"/>
  <c r="AI74" i="1"/>
  <c r="AI73" i="1"/>
  <c r="AI72" i="1"/>
  <c r="AI68" i="1"/>
  <c r="AI67" i="1"/>
  <c r="AI66" i="1"/>
  <c r="AI65" i="1"/>
  <c r="AI57" i="1"/>
  <c r="AI53" i="1"/>
  <c r="AI51" i="1"/>
  <c r="AI50" i="1"/>
  <c r="AI46" i="1"/>
  <c r="AI45" i="1"/>
  <c r="AI44" i="1"/>
  <c r="AI43" i="1"/>
  <c r="AI42" i="1"/>
  <c r="AI41" i="1"/>
  <c r="AI40" i="1"/>
  <c r="AI35" i="1"/>
  <c r="AI34" i="1"/>
  <c r="AI33" i="1"/>
  <c r="AI32" i="1"/>
  <c r="AI31" i="1"/>
  <c r="AI30" i="1"/>
  <c r="AI28" i="1"/>
  <c r="AI27" i="1"/>
  <c r="AI23" i="1"/>
  <c r="AI22" i="1"/>
  <c r="AI21" i="1"/>
  <c r="AI20" i="1"/>
  <c r="AI18" i="1"/>
  <c r="AI17" i="1"/>
  <c r="AI16" i="1"/>
  <c r="AI15" i="1"/>
  <c r="AI8" i="1"/>
  <c r="AI7" i="1"/>
  <c r="AI6" i="1"/>
  <c r="AI5" i="1"/>
  <c r="AI4" i="1"/>
  <c r="U4" i="1"/>
  <c r="V4" i="1" a="1"/>
  <c r="V4" i="1" s="1"/>
  <c r="V5" i="1" a="1"/>
  <c r="V5" i="1" s="1"/>
  <c r="V6" i="1" a="1"/>
  <c r="V6" i="1" s="1"/>
  <c r="V7" i="1" a="1"/>
  <c r="V7" i="1" s="1"/>
  <c r="V8" i="1" a="1"/>
  <c r="V8" i="1" s="1"/>
  <c r="V9" i="1" a="1"/>
  <c r="V9" i="1" s="1"/>
  <c r="V10" i="1" a="1"/>
  <c r="V10" i="1" s="1"/>
  <c r="V11" i="1" a="1"/>
  <c r="V11" i="1" s="1"/>
  <c r="G140" i="1" l="1"/>
  <c r="H140" i="1" s="1" a="1"/>
  <c r="H140" i="1" s="1"/>
  <c r="G139" i="1"/>
  <c r="H139" i="1" s="1" a="1"/>
  <c r="H139" i="1" s="1"/>
  <c r="G138" i="1"/>
  <c r="H138" i="1" s="1" a="1"/>
  <c r="H138" i="1" s="1"/>
  <c r="G137" i="1"/>
  <c r="H137" i="1" s="1" a="1"/>
  <c r="H137" i="1" s="1"/>
  <c r="G136" i="1"/>
  <c r="H136" i="1" s="1" a="1"/>
  <c r="H136" i="1" s="1"/>
  <c r="G135" i="1"/>
  <c r="H135" i="1" s="1" a="1"/>
  <c r="H135" i="1" s="1"/>
  <c r="G134" i="1"/>
  <c r="H134" i="1" s="1" a="1"/>
  <c r="H134" i="1" s="1"/>
  <c r="G133" i="1"/>
  <c r="H133" i="1" s="1" a="1"/>
  <c r="H133" i="1" s="1"/>
  <c r="G132" i="1"/>
  <c r="H132" i="1" s="1" a="1"/>
  <c r="H132" i="1" s="1"/>
  <c r="G131" i="1"/>
  <c r="H131" i="1" s="1" a="1"/>
  <c r="H131" i="1" s="1"/>
  <c r="G130" i="1"/>
  <c r="H130" i="1" s="1" a="1"/>
  <c r="H130" i="1" s="1"/>
  <c r="G129" i="1"/>
  <c r="H129" i="1" s="1" a="1"/>
  <c r="H129" i="1" s="1"/>
  <c r="B18" i="15"/>
  <c r="B19" i="15"/>
  <c r="C19" i="15"/>
  <c r="C19" i="14"/>
  <c r="L16" i="18"/>
  <c r="C12" i="4"/>
  <c r="D11" i="4"/>
  <c r="C11" i="4"/>
  <c r="D10" i="4"/>
  <c r="C10" i="4"/>
  <c r="D8" i="4"/>
  <c r="C8" i="4"/>
  <c r="D7" i="4"/>
  <c r="C7" i="4"/>
  <c r="D6" i="4"/>
  <c r="C6" i="4"/>
  <c r="K3" i="15" l="1"/>
  <c r="AY8" i="1"/>
  <c r="M19" i="15"/>
  <c r="M18" i="15"/>
  <c r="M17" i="15"/>
  <c r="M16" i="15"/>
  <c r="M13" i="15"/>
  <c r="M12" i="15"/>
  <c r="M11" i="15"/>
  <c r="M10" i="15"/>
  <c r="M9" i="15"/>
  <c r="M8" i="15"/>
  <c r="M6" i="15"/>
  <c r="M3" i="15"/>
  <c r="L19" i="15"/>
  <c r="L18" i="15"/>
  <c r="L17" i="15"/>
  <c r="L16" i="15"/>
  <c r="L13" i="15"/>
  <c r="L12" i="15"/>
  <c r="L11" i="15"/>
  <c r="L10" i="15"/>
  <c r="L9" i="15"/>
  <c r="L8" i="15"/>
  <c r="L6" i="15"/>
  <c r="L3" i="15"/>
  <c r="K19" i="15"/>
  <c r="K18" i="15"/>
  <c r="K17" i="15"/>
  <c r="K16" i="15"/>
  <c r="K13" i="15"/>
  <c r="K12" i="15"/>
  <c r="K11" i="15"/>
  <c r="K10" i="15"/>
  <c r="K9" i="15"/>
  <c r="K8" i="15"/>
  <c r="K6" i="15"/>
  <c r="J6" i="15"/>
  <c r="J19" i="15"/>
  <c r="J18" i="15"/>
  <c r="J17" i="15"/>
  <c r="J16" i="15"/>
  <c r="J13" i="15"/>
  <c r="J12" i="15"/>
  <c r="J11" i="15"/>
  <c r="J10" i="15"/>
  <c r="J9" i="15"/>
  <c r="J8" i="15"/>
  <c r="J3" i="15"/>
  <c r="I19" i="15"/>
  <c r="I18" i="15"/>
  <c r="I17" i="15"/>
  <c r="I16" i="15"/>
  <c r="I13" i="15"/>
  <c r="I12" i="15"/>
  <c r="I11" i="15"/>
  <c r="I10" i="15"/>
  <c r="I9" i="15"/>
  <c r="I8" i="15"/>
  <c r="I6" i="15"/>
  <c r="I3" i="15"/>
  <c r="H19" i="15"/>
  <c r="H18" i="15"/>
  <c r="H17" i="15"/>
  <c r="H16" i="15"/>
  <c r="H13" i="15"/>
  <c r="H12" i="15"/>
  <c r="H11" i="15"/>
  <c r="H10" i="15"/>
  <c r="H9" i="15"/>
  <c r="H8" i="15"/>
  <c r="H6" i="15"/>
  <c r="H3" i="15"/>
  <c r="G18" i="15"/>
  <c r="G19" i="15"/>
  <c r="G17" i="15"/>
  <c r="G16" i="15"/>
  <c r="G13" i="15"/>
  <c r="G12" i="15"/>
  <c r="G11" i="15"/>
  <c r="G10" i="15"/>
  <c r="G9" i="15"/>
  <c r="G8" i="15"/>
  <c r="G6" i="15"/>
  <c r="G3" i="15"/>
  <c r="F19" i="15"/>
  <c r="F18" i="15"/>
  <c r="F17" i="15"/>
  <c r="F16" i="15"/>
  <c r="F13" i="15"/>
  <c r="F12" i="15"/>
  <c r="F11" i="15"/>
  <c r="F10" i="15"/>
  <c r="F9" i="15"/>
  <c r="F8" i="15"/>
  <c r="F6" i="15"/>
  <c r="F3" i="15"/>
  <c r="E19" i="15"/>
  <c r="E18" i="15"/>
  <c r="E17" i="15"/>
  <c r="E16" i="15"/>
  <c r="E13" i="15"/>
  <c r="E12" i="15"/>
  <c r="E11" i="15"/>
  <c r="E10" i="15"/>
  <c r="E9" i="15"/>
  <c r="E8" i="15"/>
  <c r="E6" i="15"/>
  <c r="E3" i="15"/>
  <c r="D19" i="15"/>
  <c r="D18" i="15"/>
  <c r="D17" i="15"/>
  <c r="D16" i="15"/>
  <c r="D13" i="15"/>
  <c r="D12" i="15"/>
  <c r="D11" i="15"/>
  <c r="D10" i="15"/>
  <c r="D9" i="15"/>
  <c r="D8" i="15"/>
  <c r="D6" i="15"/>
  <c r="D3" i="15"/>
  <c r="C18" i="15"/>
  <c r="C17" i="15"/>
  <c r="C16" i="15"/>
  <c r="C13" i="15"/>
  <c r="C12" i="15"/>
  <c r="C11" i="15"/>
  <c r="C10" i="15"/>
  <c r="C9" i="15"/>
  <c r="C8" i="15"/>
  <c r="C6" i="15"/>
  <c r="C3" i="15"/>
  <c r="B17" i="15"/>
  <c r="B16" i="15"/>
  <c r="B13" i="15"/>
  <c r="B12" i="15"/>
  <c r="B11" i="15"/>
  <c r="B10" i="15"/>
  <c r="B9" i="15"/>
  <c r="B8" i="15"/>
  <c r="B6" i="15"/>
  <c r="B3" i="15"/>
  <c r="H19" i="13"/>
  <c r="H18" i="13"/>
  <c r="H17" i="13"/>
  <c r="H16" i="13"/>
  <c r="H13" i="13"/>
  <c r="H12" i="13"/>
  <c r="H11" i="13"/>
  <c r="H10" i="13"/>
  <c r="H9" i="13"/>
  <c r="H8" i="13"/>
  <c r="H6" i="13"/>
  <c r="G19" i="13"/>
  <c r="G18" i="13"/>
  <c r="G17" i="13"/>
  <c r="G16" i="13"/>
  <c r="G13" i="13"/>
  <c r="G12" i="13"/>
  <c r="G11" i="13"/>
  <c r="G10" i="13"/>
  <c r="G9" i="13"/>
  <c r="G8" i="13"/>
  <c r="G6" i="13"/>
  <c r="F19" i="13"/>
  <c r="F18" i="13"/>
  <c r="F17" i="13"/>
  <c r="F16" i="13"/>
  <c r="F13" i="13"/>
  <c r="F12" i="13"/>
  <c r="F11" i="13"/>
  <c r="F10" i="13"/>
  <c r="F9" i="13"/>
  <c r="F8" i="13"/>
  <c r="F6" i="13"/>
  <c r="E19" i="13"/>
  <c r="E18" i="13"/>
  <c r="E17" i="13"/>
  <c r="E16" i="13"/>
  <c r="E13" i="13"/>
  <c r="E12" i="13"/>
  <c r="E11" i="13"/>
  <c r="E10" i="13"/>
  <c r="E9" i="13"/>
  <c r="E8" i="13"/>
  <c r="E6" i="13"/>
  <c r="D18" i="13"/>
  <c r="D19" i="13"/>
  <c r="D17" i="13"/>
  <c r="D16" i="13"/>
  <c r="D13" i="13"/>
  <c r="D12" i="13"/>
  <c r="D11" i="13"/>
  <c r="D10" i="13"/>
  <c r="D9" i="13"/>
  <c r="D8" i="13"/>
  <c r="D6" i="13"/>
  <c r="C19" i="13"/>
  <c r="C18" i="13"/>
  <c r="C17" i="13"/>
  <c r="C16" i="13"/>
  <c r="C13" i="13"/>
  <c r="C12" i="13"/>
  <c r="C11" i="13"/>
  <c r="C10" i="13"/>
  <c r="C9" i="13"/>
  <c r="C8" i="13"/>
  <c r="C6" i="13"/>
  <c r="B19" i="13"/>
  <c r="B18" i="13"/>
  <c r="B17" i="13"/>
  <c r="B16" i="13"/>
  <c r="B13" i="13"/>
  <c r="B12" i="13"/>
  <c r="B11" i="13"/>
  <c r="B10" i="13"/>
  <c r="B9" i="13"/>
  <c r="B8" i="13"/>
  <c r="B6" i="13"/>
  <c r="H19" i="14"/>
  <c r="H18" i="14"/>
  <c r="H17" i="14"/>
  <c r="H16" i="14"/>
  <c r="H13" i="14"/>
  <c r="H12" i="14"/>
  <c r="H11" i="14"/>
  <c r="H10" i="14"/>
  <c r="H9" i="14"/>
  <c r="H8" i="14"/>
  <c r="H6" i="14"/>
  <c r="G19" i="14"/>
  <c r="G18" i="14"/>
  <c r="G17" i="14"/>
  <c r="G16" i="14"/>
  <c r="G13" i="14"/>
  <c r="G12" i="14"/>
  <c r="G11" i="14"/>
  <c r="G10" i="14"/>
  <c r="G9" i="14"/>
  <c r="G8" i="14"/>
  <c r="G6" i="14"/>
  <c r="F19" i="14"/>
  <c r="F18" i="14"/>
  <c r="F17" i="14"/>
  <c r="F16" i="14"/>
  <c r="F13" i="14"/>
  <c r="F12" i="14"/>
  <c r="F11" i="14"/>
  <c r="F10" i="14"/>
  <c r="F9" i="14"/>
  <c r="F8" i="14"/>
  <c r="F6" i="14"/>
  <c r="E19" i="14"/>
  <c r="E18" i="14"/>
  <c r="E17" i="14"/>
  <c r="E16" i="14"/>
  <c r="E13" i="14"/>
  <c r="E12" i="14"/>
  <c r="E11" i="14"/>
  <c r="E10" i="14"/>
  <c r="E9" i="14"/>
  <c r="E8" i="14"/>
  <c r="E6" i="14"/>
  <c r="D12" i="14"/>
  <c r="D19" i="14"/>
  <c r="D18" i="14"/>
  <c r="D17" i="14"/>
  <c r="D16" i="14"/>
  <c r="D13" i="14"/>
  <c r="D11" i="14"/>
  <c r="D10" i="14"/>
  <c r="D9" i="14"/>
  <c r="D8" i="14"/>
  <c r="D6" i="14"/>
  <c r="C18" i="14"/>
  <c r="C17" i="14"/>
  <c r="C16" i="14"/>
  <c r="C13" i="14"/>
  <c r="C12" i="14"/>
  <c r="C11" i="14"/>
  <c r="C10" i="14"/>
  <c r="C9" i="14"/>
  <c r="C8" i="14"/>
  <c r="C6" i="14"/>
  <c r="B19" i="14"/>
  <c r="B18" i="14"/>
  <c r="B17" i="14"/>
  <c r="B16" i="14"/>
  <c r="B13" i="14"/>
  <c r="B12" i="14"/>
  <c r="B11" i="14"/>
  <c r="B10" i="14"/>
  <c r="B9" i="14"/>
  <c r="B8" i="14"/>
  <c r="B6" i="14"/>
  <c r="H19" i="12"/>
  <c r="H18" i="12"/>
  <c r="H17" i="12"/>
  <c r="H16" i="12"/>
  <c r="H13" i="12"/>
  <c r="H12" i="12"/>
  <c r="H11" i="12"/>
  <c r="H10" i="12"/>
  <c r="H9" i="12"/>
  <c r="H8" i="12"/>
  <c r="H6" i="12"/>
  <c r="G19" i="12"/>
  <c r="G18" i="12"/>
  <c r="G17" i="12"/>
  <c r="G16" i="12"/>
  <c r="G13" i="12"/>
  <c r="G12" i="12"/>
  <c r="G11" i="12"/>
  <c r="G10" i="12"/>
  <c r="G9" i="12"/>
  <c r="G8" i="12"/>
  <c r="G6" i="12"/>
  <c r="F19" i="12"/>
  <c r="F18" i="12"/>
  <c r="F17" i="12"/>
  <c r="F16" i="12"/>
  <c r="F13" i="12"/>
  <c r="F12" i="12"/>
  <c r="F11" i="12"/>
  <c r="F10" i="12"/>
  <c r="F9" i="12"/>
  <c r="F8" i="12"/>
  <c r="F6" i="12"/>
  <c r="E19" i="12"/>
  <c r="E18" i="12"/>
  <c r="E17" i="12"/>
  <c r="E16" i="12"/>
  <c r="E13" i="12"/>
  <c r="E12" i="12"/>
  <c r="E11" i="12"/>
  <c r="E10" i="12"/>
  <c r="E9" i="12"/>
  <c r="E8" i="12"/>
  <c r="E6" i="12"/>
  <c r="D19" i="12"/>
  <c r="D18" i="12"/>
  <c r="D17" i="12"/>
  <c r="D16" i="12"/>
  <c r="D13" i="12"/>
  <c r="D12" i="12"/>
  <c r="D11" i="12"/>
  <c r="D10" i="12"/>
  <c r="D9" i="12"/>
  <c r="D8" i="12"/>
  <c r="D6" i="12"/>
  <c r="C19" i="12"/>
  <c r="C18" i="12"/>
  <c r="C17" i="12"/>
  <c r="C16" i="12"/>
  <c r="C13" i="12"/>
  <c r="C12" i="12"/>
  <c r="C11" i="12"/>
  <c r="C10" i="12"/>
  <c r="C9" i="12"/>
  <c r="C8" i="12"/>
  <c r="C6" i="12"/>
  <c r="B19" i="12"/>
  <c r="B18" i="12"/>
  <c r="B17" i="12"/>
  <c r="B16" i="12"/>
  <c r="B13" i="12"/>
  <c r="B12" i="12"/>
  <c r="B11" i="12"/>
  <c r="B10" i="12"/>
  <c r="B9" i="12"/>
  <c r="B8" i="12"/>
  <c r="B6" i="12"/>
  <c r="J19" i="11"/>
  <c r="J18" i="11"/>
  <c r="J17" i="11"/>
  <c r="J16" i="11"/>
  <c r="J13" i="11"/>
  <c r="J12" i="11"/>
  <c r="J11" i="11"/>
  <c r="J10" i="11"/>
  <c r="J9" i="11"/>
  <c r="J8" i="11"/>
  <c r="J6" i="11"/>
  <c r="I19" i="11"/>
  <c r="I18" i="11"/>
  <c r="I17" i="11"/>
  <c r="I16" i="11"/>
  <c r="I13" i="11"/>
  <c r="I12" i="11"/>
  <c r="I11" i="11"/>
  <c r="I10" i="11"/>
  <c r="I9" i="11"/>
  <c r="I8" i="11"/>
  <c r="I6" i="11"/>
  <c r="H19" i="11"/>
  <c r="H18" i="11"/>
  <c r="H17" i="11"/>
  <c r="H16" i="11"/>
  <c r="H13" i="11"/>
  <c r="H12" i="11"/>
  <c r="H11" i="11"/>
  <c r="H10" i="11"/>
  <c r="H9" i="11"/>
  <c r="H8" i="11"/>
  <c r="H6" i="11"/>
  <c r="G19" i="11"/>
  <c r="G18" i="11"/>
  <c r="G17" i="11"/>
  <c r="G16" i="11"/>
  <c r="G13" i="11"/>
  <c r="G12" i="11"/>
  <c r="G11" i="11"/>
  <c r="G10" i="11"/>
  <c r="G9" i="11"/>
  <c r="G8" i="11"/>
  <c r="G6" i="11"/>
  <c r="F19" i="11"/>
  <c r="F18" i="11"/>
  <c r="F17" i="11"/>
  <c r="F16" i="11"/>
  <c r="F13" i="11"/>
  <c r="F12" i="11"/>
  <c r="F11" i="11"/>
  <c r="F10" i="11"/>
  <c r="F9" i="11"/>
  <c r="F8" i="11"/>
  <c r="F6" i="11"/>
  <c r="E19" i="11"/>
  <c r="E18" i="11"/>
  <c r="E17" i="11"/>
  <c r="E16" i="11"/>
  <c r="E13" i="11"/>
  <c r="E12" i="11"/>
  <c r="E11" i="11"/>
  <c r="E10" i="11"/>
  <c r="E9" i="11"/>
  <c r="E8" i="11"/>
  <c r="E6" i="11"/>
  <c r="D19" i="11"/>
  <c r="D18" i="11"/>
  <c r="D17" i="11"/>
  <c r="D16" i="11"/>
  <c r="D13" i="11"/>
  <c r="D12" i="11"/>
  <c r="D11" i="11"/>
  <c r="D10" i="11"/>
  <c r="D9" i="11"/>
  <c r="D8" i="11"/>
  <c r="D6" i="11"/>
  <c r="C19" i="11"/>
  <c r="C18" i="11"/>
  <c r="C17" i="11"/>
  <c r="C16" i="11"/>
  <c r="C13" i="11"/>
  <c r="C12" i="11"/>
  <c r="C11" i="11"/>
  <c r="C10" i="11"/>
  <c r="C9" i="11"/>
  <c r="C8" i="11"/>
  <c r="C6" i="11"/>
  <c r="B9" i="11"/>
  <c r="B19" i="11"/>
  <c r="B18" i="11"/>
  <c r="B17" i="11"/>
  <c r="B16" i="11"/>
  <c r="B13" i="11"/>
  <c r="B12" i="11"/>
  <c r="B11" i="11"/>
  <c r="B10" i="11"/>
  <c r="B8" i="11"/>
  <c r="B6" i="11"/>
  <c r="M19" i="10"/>
  <c r="M18" i="10"/>
  <c r="M17" i="10"/>
  <c r="M16" i="10"/>
  <c r="M13" i="10"/>
  <c r="M12" i="10"/>
  <c r="M11" i="10"/>
  <c r="M10" i="10"/>
  <c r="M9" i="10"/>
  <c r="M8" i="10"/>
  <c r="M6" i="10"/>
  <c r="L19" i="10"/>
  <c r="L18" i="10"/>
  <c r="L17" i="10"/>
  <c r="L16" i="10"/>
  <c r="L13" i="10"/>
  <c r="L12" i="10"/>
  <c r="L11" i="10"/>
  <c r="L10" i="10"/>
  <c r="L9" i="10"/>
  <c r="L8" i="10"/>
  <c r="L6" i="10"/>
  <c r="K19" i="10"/>
  <c r="K18" i="10"/>
  <c r="K17" i="10"/>
  <c r="K16" i="10"/>
  <c r="K13" i="10"/>
  <c r="K12" i="10"/>
  <c r="K11" i="10"/>
  <c r="K10" i="10"/>
  <c r="K9" i="10"/>
  <c r="K8" i="10"/>
  <c r="K6" i="10"/>
  <c r="J19" i="10"/>
  <c r="J18" i="10"/>
  <c r="J17" i="10"/>
  <c r="J16" i="10"/>
  <c r="J13" i="10"/>
  <c r="J12" i="10"/>
  <c r="J11" i="10"/>
  <c r="J10" i="10"/>
  <c r="J9" i="10"/>
  <c r="J8" i="10"/>
  <c r="J6" i="10"/>
  <c r="I19" i="10"/>
  <c r="I18" i="10"/>
  <c r="I17" i="10"/>
  <c r="I16" i="10"/>
  <c r="I13" i="10"/>
  <c r="I12" i="10"/>
  <c r="I11" i="10"/>
  <c r="I10" i="10"/>
  <c r="I9" i="10"/>
  <c r="I8" i="10"/>
  <c r="I6" i="10"/>
  <c r="H19" i="10"/>
  <c r="H18" i="10"/>
  <c r="H17" i="10"/>
  <c r="H16" i="10"/>
  <c r="H13" i="10"/>
  <c r="H12" i="10"/>
  <c r="H11" i="10"/>
  <c r="H10" i="10"/>
  <c r="H9" i="10"/>
  <c r="H8" i="10"/>
  <c r="H6" i="10"/>
  <c r="G19" i="10"/>
  <c r="G18" i="10"/>
  <c r="G17" i="10"/>
  <c r="G16" i="10"/>
  <c r="G13" i="10"/>
  <c r="G12" i="10"/>
  <c r="G11" i="10"/>
  <c r="G10" i="10"/>
  <c r="G9" i="10"/>
  <c r="G8" i="10"/>
  <c r="G6" i="10"/>
  <c r="F19" i="10"/>
  <c r="F18" i="10"/>
  <c r="F17" i="10"/>
  <c r="F16" i="10"/>
  <c r="F13" i="10"/>
  <c r="F12" i="10"/>
  <c r="F11" i="10"/>
  <c r="F10" i="10"/>
  <c r="F9" i="10"/>
  <c r="F8" i="10"/>
  <c r="F6" i="10"/>
  <c r="E19" i="10"/>
  <c r="E18" i="10"/>
  <c r="E17" i="10"/>
  <c r="E16" i="10"/>
  <c r="E13" i="10"/>
  <c r="E12" i="10"/>
  <c r="E11" i="10"/>
  <c r="E10" i="10"/>
  <c r="E9" i="10"/>
  <c r="E8" i="10"/>
  <c r="E6" i="10"/>
  <c r="D19" i="10"/>
  <c r="D18" i="10"/>
  <c r="D17" i="10"/>
  <c r="D16" i="10"/>
  <c r="D13" i="10"/>
  <c r="D12" i="10"/>
  <c r="D11" i="10"/>
  <c r="D10" i="10"/>
  <c r="D9" i="10"/>
  <c r="D8" i="10"/>
  <c r="D6" i="10"/>
  <c r="C19" i="10"/>
  <c r="C18" i="10"/>
  <c r="C17" i="10"/>
  <c r="C16" i="10"/>
  <c r="C13" i="10"/>
  <c r="C12" i="10"/>
  <c r="C11" i="10"/>
  <c r="C10" i="10"/>
  <c r="C9" i="10"/>
  <c r="C8" i="10"/>
  <c r="C6" i="10"/>
  <c r="B19" i="10"/>
  <c r="B18" i="10"/>
  <c r="B17" i="10"/>
  <c r="B16" i="10"/>
  <c r="B13" i="10"/>
  <c r="B12" i="10"/>
  <c r="B11" i="10"/>
  <c r="B10" i="10"/>
  <c r="B9" i="10"/>
  <c r="B8" i="10"/>
  <c r="B6" i="10"/>
  <c r="H19" i="9"/>
  <c r="H18" i="9"/>
  <c r="H17" i="9"/>
  <c r="H16" i="9"/>
  <c r="H13" i="9"/>
  <c r="H12" i="9"/>
  <c r="H11" i="9"/>
  <c r="H10" i="9"/>
  <c r="H9" i="9"/>
  <c r="H8" i="9"/>
  <c r="H6" i="9"/>
  <c r="G19" i="9"/>
  <c r="G18" i="9"/>
  <c r="G17" i="9"/>
  <c r="G16" i="9"/>
  <c r="G13" i="9"/>
  <c r="G12" i="9"/>
  <c r="G11" i="9"/>
  <c r="G10" i="9"/>
  <c r="G9" i="9"/>
  <c r="G8" i="9"/>
  <c r="G6" i="9"/>
  <c r="F19" i="9"/>
  <c r="F18" i="9"/>
  <c r="F17" i="9"/>
  <c r="F16" i="9"/>
  <c r="F13" i="9"/>
  <c r="F12" i="9"/>
  <c r="F11" i="9"/>
  <c r="F10" i="9"/>
  <c r="F9" i="9"/>
  <c r="F8" i="9"/>
  <c r="F6" i="9"/>
  <c r="E19" i="9"/>
  <c r="E18" i="9"/>
  <c r="E17" i="9"/>
  <c r="E16" i="9"/>
  <c r="E13" i="9"/>
  <c r="E12" i="9"/>
  <c r="E11" i="9"/>
  <c r="E10" i="9"/>
  <c r="E9" i="9"/>
  <c r="E8" i="9"/>
  <c r="E6" i="9"/>
  <c r="D19" i="9"/>
  <c r="D18" i="9"/>
  <c r="D17" i="9"/>
  <c r="D16" i="9"/>
  <c r="D13" i="9"/>
  <c r="D12" i="9"/>
  <c r="D11" i="9"/>
  <c r="D10" i="9"/>
  <c r="D9" i="9"/>
  <c r="D8" i="9"/>
  <c r="D6" i="9"/>
  <c r="C19" i="9"/>
  <c r="C18" i="9"/>
  <c r="C17" i="9"/>
  <c r="C16" i="9"/>
  <c r="C13" i="9"/>
  <c r="C12" i="9"/>
  <c r="C11" i="9"/>
  <c r="C10" i="9"/>
  <c r="C9" i="9"/>
  <c r="C8" i="9"/>
  <c r="C6" i="9"/>
  <c r="B19" i="9"/>
  <c r="B18" i="9"/>
  <c r="B17" i="9"/>
  <c r="B16" i="9"/>
  <c r="B13" i="9"/>
  <c r="B12" i="9"/>
  <c r="B11" i="9"/>
  <c r="B10" i="9"/>
  <c r="B9" i="9"/>
  <c r="B8" i="9"/>
  <c r="B6" i="9"/>
  <c r="J19" i="8"/>
  <c r="J18" i="8"/>
  <c r="J17" i="8"/>
  <c r="J16" i="8"/>
  <c r="J13" i="8"/>
  <c r="J12" i="8"/>
  <c r="J11" i="8"/>
  <c r="J10" i="8"/>
  <c r="J9" i="8"/>
  <c r="J8" i="8"/>
  <c r="J6" i="8"/>
  <c r="I19" i="8"/>
  <c r="I18" i="8"/>
  <c r="I17" i="8"/>
  <c r="I16" i="8"/>
  <c r="I13" i="8"/>
  <c r="I12" i="8"/>
  <c r="I11" i="8"/>
  <c r="I10" i="8"/>
  <c r="I9" i="8"/>
  <c r="I8" i="8"/>
  <c r="I6" i="8"/>
  <c r="H19" i="8"/>
  <c r="H18" i="8"/>
  <c r="H17" i="8"/>
  <c r="H16" i="8"/>
  <c r="H13" i="8"/>
  <c r="H12" i="8"/>
  <c r="H11" i="8"/>
  <c r="H10" i="8"/>
  <c r="H9" i="8"/>
  <c r="H8" i="8"/>
  <c r="H6" i="8"/>
  <c r="G19" i="8"/>
  <c r="G18" i="8"/>
  <c r="G17" i="8"/>
  <c r="G16" i="8"/>
  <c r="G13" i="8"/>
  <c r="G12" i="8"/>
  <c r="G11" i="8"/>
  <c r="G10" i="8"/>
  <c r="G9" i="8"/>
  <c r="G8" i="8"/>
  <c r="G6" i="8"/>
  <c r="F12" i="8"/>
  <c r="F19" i="8"/>
  <c r="F18" i="8"/>
  <c r="F17" i="8"/>
  <c r="F16" i="8"/>
  <c r="F13" i="8"/>
  <c r="F11" i="8"/>
  <c r="F10" i="8"/>
  <c r="F9" i="8"/>
  <c r="F8" i="8"/>
  <c r="F6" i="8"/>
  <c r="E19" i="8"/>
  <c r="E18" i="8"/>
  <c r="E17" i="8"/>
  <c r="E16" i="8"/>
  <c r="E13" i="8"/>
  <c r="E12" i="8"/>
  <c r="E11" i="8"/>
  <c r="E10" i="8"/>
  <c r="E9" i="8"/>
  <c r="E8" i="8"/>
  <c r="E6" i="8"/>
  <c r="D19" i="8"/>
  <c r="D18" i="8"/>
  <c r="D17" i="8"/>
  <c r="D16" i="8"/>
  <c r="D13" i="8"/>
  <c r="D12" i="8"/>
  <c r="D11" i="8"/>
  <c r="D10" i="8"/>
  <c r="D9" i="8"/>
  <c r="D8" i="8"/>
  <c r="D6" i="8"/>
  <c r="C19" i="8"/>
  <c r="C18" i="8"/>
  <c r="C17" i="8"/>
  <c r="C16" i="8"/>
  <c r="C13" i="8"/>
  <c r="C12" i="8"/>
  <c r="C11" i="8"/>
  <c r="C10" i="8"/>
  <c r="C9" i="8"/>
  <c r="C8" i="8"/>
  <c r="C6" i="8"/>
  <c r="B19" i="8"/>
  <c r="B18" i="8"/>
  <c r="B17" i="8"/>
  <c r="B16" i="8"/>
  <c r="B13" i="8"/>
  <c r="B12" i="8"/>
  <c r="B11" i="8"/>
  <c r="B10" i="8"/>
  <c r="B9" i="8"/>
  <c r="B8" i="8"/>
  <c r="B6" i="8"/>
  <c r="H19" i="7"/>
  <c r="H18" i="7"/>
  <c r="H17" i="7"/>
  <c r="H16" i="7"/>
  <c r="H12" i="7"/>
  <c r="H13" i="7"/>
  <c r="H11" i="7"/>
  <c r="H10" i="7"/>
  <c r="H9" i="7"/>
  <c r="H8" i="7"/>
  <c r="H6" i="7"/>
  <c r="G19" i="7"/>
  <c r="G18" i="7"/>
  <c r="G17" i="7"/>
  <c r="G16" i="7"/>
  <c r="G13" i="7"/>
  <c r="G12" i="7"/>
  <c r="G11" i="7"/>
  <c r="G10" i="7"/>
  <c r="G9" i="7"/>
  <c r="G8" i="7"/>
  <c r="G6" i="7"/>
  <c r="F19" i="7"/>
  <c r="F18" i="7"/>
  <c r="F17" i="7"/>
  <c r="F16" i="7"/>
  <c r="F13" i="7"/>
  <c r="F12" i="7"/>
  <c r="F11" i="7"/>
  <c r="F10" i="7"/>
  <c r="F9" i="7"/>
  <c r="F8" i="7"/>
  <c r="F6" i="7"/>
  <c r="E19" i="7"/>
  <c r="E18" i="7"/>
  <c r="E17" i="7"/>
  <c r="E16" i="7"/>
  <c r="E13" i="7"/>
  <c r="E12" i="7"/>
  <c r="E11" i="7"/>
  <c r="E9" i="7"/>
  <c r="E8" i="7"/>
  <c r="E6" i="7"/>
  <c r="D19" i="7"/>
  <c r="D18" i="7"/>
  <c r="D17" i="7"/>
  <c r="D16" i="7"/>
  <c r="D13" i="7"/>
  <c r="D12" i="7"/>
  <c r="D11" i="7"/>
  <c r="D10" i="7"/>
  <c r="D9" i="7"/>
  <c r="D8" i="7"/>
  <c r="D6" i="7"/>
  <c r="C19" i="7"/>
  <c r="C18" i="7"/>
  <c r="C17" i="7"/>
  <c r="C16" i="7"/>
  <c r="C13" i="7"/>
  <c r="C12" i="7"/>
  <c r="C11" i="7"/>
  <c r="C10" i="7"/>
  <c r="C9" i="7"/>
  <c r="C8" i="7"/>
  <c r="C6" i="7"/>
  <c r="B19" i="7"/>
  <c r="B18" i="7"/>
  <c r="B17" i="7"/>
  <c r="B16" i="7"/>
  <c r="B13" i="7"/>
  <c r="B12" i="7"/>
  <c r="B11" i="7"/>
  <c r="B10" i="7"/>
  <c r="B9" i="7"/>
  <c r="B8" i="7"/>
  <c r="B6" i="7"/>
  <c r="K19" i="6"/>
  <c r="K18" i="6"/>
  <c r="K17" i="6"/>
  <c r="K16" i="6"/>
  <c r="K13" i="6"/>
  <c r="K12" i="6"/>
  <c r="K11" i="6"/>
  <c r="K10" i="6"/>
  <c r="K9" i="6"/>
  <c r="K8" i="6"/>
  <c r="K6" i="6"/>
  <c r="J19" i="6"/>
  <c r="J18" i="6"/>
  <c r="J17" i="6"/>
  <c r="J16" i="6"/>
  <c r="J13" i="6"/>
  <c r="J12" i="6"/>
  <c r="J11" i="6"/>
  <c r="J10" i="6"/>
  <c r="J9" i="6"/>
  <c r="J8" i="6"/>
  <c r="J6" i="6"/>
  <c r="I19" i="6"/>
  <c r="I18" i="6"/>
  <c r="I17" i="6"/>
  <c r="I16" i="6"/>
  <c r="I13" i="6"/>
  <c r="I12" i="6"/>
  <c r="I11" i="6"/>
  <c r="I10" i="6"/>
  <c r="I9" i="6"/>
  <c r="I8" i="6"/>
  <c r="I6" i="6"/>
  <c r="H19" i="6"/>
  <c r="H18" i="6"/>
  <c r="H17" i="6"/>
  <c r="H16" i="6"/>
  <c r="H13" i="6"/>
  <c r="H12" i="6"/>
  <c r="H11" i="6"/>
  <c r="H10" i="6"/>
  <c r="H9" i="6"/>
  <c r="H8" i="6"/>
  <c r="H6" i="6"/>
  <c r="G19" i="6"/>
  <c r="G18" i="6"/>
  <c r="G17" i="6"/>
  <c r="G16" i="6"/>
  <c r="G13" i="6"/>
  <c r="G12" i="6"/>
  <c r="G11" i="6"/>
  <c r="G10" i="6"/>
  <c r="G9" i="6"/>
  <c r="G8" i="6"/>
  <c r="G6" i="6"/>
  <c r="F19" i="6"/>
  <c r="F18" i="6"/>
  <c r="F17" i="6"/>
  <c r="F16" i="6"/>
  <c r="F13" i="6"/>
  <c r="F12" i="6"/>
  <c r="F11" i="6"/>
  <c r="F10" i="6"/>
  <c r="F8" i="6"/>
  <c r="F9" i="6"/>
  <c r="F6" i="6"/>
  <c r="E19" i="6"/>
  <c r="E18" i="6"/>
  <c r="E17" i="6"/>
  <c r="E16" i="6"/>
  <c r="E13" i="6"/>
  <c r="E12" i="6"/>
  <c r="E11" i="6"/>
  <c r="E10" i="6"/>
  <c r="E9" i="6"/>
  <c r="E8" i="6"/>
  <c r="E6" i="6"/>
  <c r="D19" i="6"/>
  <c r="D18" i="6"/>
  <c r="D17" i="6"/>
  <c r="D16" i="6"/>
  <c r="D13" i="6"/>
  <c r="D12" i="6"/>
  <c r="D11" i="6"/>
  <c r="D10" i="6"/>
  <c r="D9" i="6"/>
  <c r="D8" i="6"/>
  <c r="D6" i="6"/>
  <c r="C19" i="6"/>
  <c r="C18" i="6"/>
  <c r="C17" i="6"/>
  <c r="C16" i="6"/>
  <c r="C13" i="6"/>
  <c r="C12" i="6"/>
  <c r="C11" i="6"/>
  <c r="C10" i="6"/>
  <c r="C9" i="6"/>
  <c r="C8" i="6"/>
  <c r="C6" i="6"/>
  <c r="B12" i="6"/>
  <c r="B19" i="6"/>
  <c r="B18" i="6"/>
  <c r="B17" i="6"/>
  <c r="B16" i="6"/>
  <c r="B13" i="6"/>
  <c r="B11" i="6"/>
  <c r="B10" i="6"/>
  <c r="B9" i="6"/>
  <c r="B8" i="6"/>
  <c r="B6" i="6"/>
  <c r="J19" i="5"/>
  <c r="J18" i="5"/>
  <c r="J17" i="5"/>
  <c r="J16" i="5"/>
  <c r="J13" i="5"/>
  <c r="J12" i="5"/>
  <c r="J11" i="5"/>
  <c r="J10" i="5"/>
  <c r="J9" i="5"/>
  <c r="J8" i="5"/>
  <c r="J6" i="5"/>
  <c r="I19" i="5"/>
  <c r="I18" i="5"/>
  <c r="I17" i="5"/>
  <c r="I16" i="5"/>
  <c r="I13" i="5"/>
  <c r="I12" i="5"/>
  <c r="I11" i="5"/>
  <c r="I10" i="5"/>
  <c r="I9" i="5"/>
  <c r="I8" i="5"/>
  <c r="I6" i="5"/>
  <c r="H19" i="5"/>
  <c r="H18" i="5"/>
  <c r="H17" i="5"/>
  <c r="H16" i="5"/>
  <c r="H13" i="5"/>
  <c r="H12" i="5"/>
  <c r="H11" i="5"/>
  <c r="H10" i="5"/>
  <c r="H9" i="5"/>
  <c r="H8" i="5"/>
  <c r="H6" i="5"/>
  <c r="G19" i="5"/>
  <c r="G18" i="5"/>
  <c r="G17" i="5"/>
  <c r="G16" i="5"/>
  <c r="G13" i="5"/>
  <c r="G12" i="5"/>
  <c r="G11" i="5"/>
  <c r="G10" i="5"/>
  <c r="G9" i="5"/>
  <c r="G8" i="5"/>
  <c r="G6" i="5"/>
  <c r="F19" i="5"/>
  <c r="F18" i="5"/>
  <c r="F17" i="5"/>
  <c r="F16" i="5"/>
  <c r="F13" i="5"/>
  <c r="F12" i="5"/>
  <c r="F11" i="5"/>
  <c r="F10" i="5"/>
  <c r="F9" i="5"/>
  <c r="F8" i="5"/>
  <c r="F6" i="5"/>
  <c r="E19" i="5"/>
  <c r="E18" i="5"/>
  <c r="E17" i="5"/>
  <c r="E16" i="5"/>
  <c r="E13" i="5"/>
  <c r="E12" i="5"/>
  <c r="E11" i="5"/>
  <c r="E10" i="5"/>
  <c r="E9" i="5"/>
  <c r="E8" i="5"/>
  <c r="E6" i="5"/>
  <c r="D19" i="5"/>
  <c r="D18" i="5"/>
  <c r="D17" i="5"/>
  <c r="D16" i="5"/>
  <c r="D13" i="5"/>
  <c r="D12" i="5"/>
  <c r="D11" i="5"/>
  <c r="D10" i="5"/>
  <c r="D9" i="5"/>
  <c r="D8" i="5"/>
  <c r="D6" i="5"/>
  <c r="C19" i="5"/>
  <c r="C18" i="5"/>
  <c r="C17" i="5"/>
  <c r="C16" i="5"/>
  <c r="C13" i="5"/>
  <c r="C12" i="5"/>
  <c r="C11" i="5"/>
  <c r="C9" i="5"/>
  <c r="C8" i="5"/>
  <c r="C6" i="5"/>
  <c r="B19" i="5"/>
  <c r="B18" i="5"/>
  <c r="B17" i="5"/>
  <c r="B16" i="5"/>
  <c r="B13" i="5"/>
  <c r="B12" i="5"/>
  <c r="B11" i="5"/>
  <c r="B10" i="5"/>
  <c r="B9" i="5"/>
  <c r="B8" i="5"/>
  <c r="B6" i="5"/>
  <c r="I19" i="4"/>
  <c r="I18" i="4"/>
  <c r="I17" i="4"/>
  <c r="I16" i="4"/>
  <c r="I13" i="4"/>
  <c r="I12" i="4"/>
  <c r="I11" i="4"/>
  <c r="I10" i="4"/>
  <c r="I9" i="4"/>
  <c r="I8" i="4"/>
  <c r="I7" i="4"/>
  <c r="I6" i="4"/>
  <c r="H19" i="4"/>
  <c r="H18" i="4"/>
  <c r="H17" i="4"/>
  <c r="H16" i="4"/>
  <c r="H13" i="4"/>
  <c r="H12" i="4"/>
  <c r="H11" i="4"/>
  <c r="H10" i="4"/>
  <c r="H9" i="4"/>
  <c r="H8" i="4"/>
  <c r="H7" i="4"/>
  <c r="H6" i="4"/>
  <c r="G19" i="4"/>
  <c r="G18" i="4"/>
  <c r="G17" i="4"/>
  <c r="G16" i="4"/>
  <c r="G13" i="4"/>
  <c r="G12" i="4"/>
  <c r="G11" i="4"/>
  <c r="G10" i="4"/>
  <c r="G9" i="4"/>
  <c r="G8" i="4"/>
  <c r="G7" i="4"/>
  <c r="G6" i="4"/>
  <c r="F19" i="4"/>
  <c r="F18" i="4"/>
  <c r="F17" i="4"/>
  <c r="F16" i="4"/>
  <c r="C13" i="4"/>
  <c r="F13" i="4"/>
  <c r="F12" i="4"/>
  <c r="F11" i="4"/>
  <c r="F10" i="4"/>
  <c r="F9" i="4"/>
  <c r="F8" i="4"/>
  <c r="F7" i="4"/>
  <c r="F6" i="4"/>
  <c r="E19" i="4"/>
  <c r="E18" i="4"/>
  <c r="E17" i="4"/>
  <c r="E16" i="4"/>
  <c r="E13" i="4"/>
  <c r="E12" i="4"/>
  <c r="E11" i="4"/>
  <c r="E10" i="4"/>
  <c r="E9" i="4"/>
  <c r="E8" i="4"/>
  <c r="E7" i="4"/>
  <c r="E6" i="4"/>
  <c r="D19" i="4"/>
  <c r="D18" i="4"/>
  <c r="D17" i="4"/>
  <c r="D16" i="4"/>
  <c r="D13" i="4"/>
  <c r="D12" i="4"/>
  <c r="D9" i="4"/>
  <c r="C19" i="4"/>
  <c r="C18" i="4"/>
  <c r="C17" i="4"/>
  <c r="C16" i="4"/>
  <c r="C9" i="4"/>
  <c r="B13" i="4"/>
  <c r="B11" i="4"/>
  <c r="B7" i="4"/>
  <c r="B19" i="4"/>
  <c r="B18" i="4"/>
  <c r="B17" i="4"/>
  <c r="B16" i="4"/>
  <c r="B12" i="4"/>
  <c r="B10" i="4"/>
  <c r="B9" i="4"/>
  <c r="B8" i="4"/>
  <c r="B6" i="4"/>
  <c r="B3" i="4"/>
  <c r="I17" i="9" l="1"/>
  <c r="G17" i="18" s="1"/>
  <c r="I9" i="14"/>
  <c r="K9" i="18" s="1"/>
  <c r="I19" i="13"/>
  <c r="L19" i="18" s="1"/>
  <c r="I9" i="13"/>
  <c r="L9" i="18" s="1"/>
  <c r="I6" i="14"/>
  <c r="K6" i="18" s="1"/>
  <c r="I19" i="9"/>
  <c r="G19" i="18" s="1"/>
  <c r="I16" i="9"/>
  <c r="G16" i="18" s="1"/>
  <c r="I11" i="9"/>
  <c r="G11" i="18" s="1"/>
  <c r="K9" i="11"/>
  <c r="I9" i="18" s="1"/>
  <c r="K18" i="8"/>
  <c r="F18" i="18" s="1"/>
  <c r="I13" i="7"/>
  <c r="E13" i="18" s="1"/>
  <c r="K17" i="11"/>
  <c r="I17" i="18" s="1"/>
  <c r="I10" i="9"/>
  <c r="G10" i="18" s="1"/>
  <c r="I8" i="14"/>
  <c r="I6" i="13"/>
  <c r="L6" i="18" s="1"/>
  <c r="I6" i="9"/>
  <c r="G6" i="18" s="1"/>
  <c r="K6" i="8"/>
  <c r="F6" i="18" s="1"/>
  <c r="N18" i="10"/>
  <c r="H18" i="18" s="1"/>
  <c r="I16" i="14"/>
  <c r="K16" i="18" s="1"/>
  <c r="I12" i="9"/>
  <c r="G12" i="18" s="1"/>
  <c r="N12" i="10"/>
  <c r="H12" i="18" s="1"/>
  <c r="I12" i="13"/>
  <c r="L12" i="18" s="1"/>
  <c r="J11" i="4"/>
  <c r="I11" i="13"/>
  <c r="L11" i="18" s="1"/>
  <c r="I18" i="13"/>
  <c r="L18" i="18" s="1"/>
  <c r="I17" i="13"/>
  <c r="L17" i="18" s="1"/>
  <c r="I8" i="13"/>
  <c r="I16" i="13"/>
  <c r="I13" i="13"/>
  <c r="L13" i="18" s="1"/>
  <c r="I10" i="13"/>
  <c r="L10" i="18" s="1"/>
  <c r="I17" i="14"/>
  <c r="K17" i="18" s="1"/>
  <c r="I13" i="14"/>
  <c r="K13" i="18" s="1"/>
  <c r="I11" i="14"/>
  <c r="K11" i="18" s="1"/>
  <c r="I19" i="14"/>
  <c r="K19" i="18" s="1"/>
  <c r="I18" i="14"/>
  <c r="K18" i="18" s="1"/>
  <c r="I10" i="14"/>
  <c r="K10" i="18" s="1"/>
  <c r="I12" i="14"/>
  <c r="K12" i="18" s="1"/>
  <c r="K6" i="11"/>
  <c r="I6" i="18" s="1"/>
  <c r="K13" i="11"/>
  <c r="I13" i="18" s="1"/>
  <c r="N10" i="10"/>
  <c r="H10" i="18" s="1"/>
  <c r="I8" i="9"/>
  <c r="I9" i="9"/>
  <c r="I13" i="9"/>
  <c r="G13" i="18" s="1"/>
  <c r="I18" i="9"/>
  <c r="G18" i="18" s="1"/>
  <c r="K16" i="8"/>
  <c r="F16" i="18" s="1"/>
  <c r="I12" i="7"/>
  <c r="E12" i="18" s="1"/>
  <c r="I16" i="7"/>
  <c r="E16" i="18" s="1"/>
  <c r="I19" i="7"/>
  <c r="E19" i="18" s="1"/>
  <c r="I17" i="7"/>
  <c r="E17" i="18" s="1"/>
  <c r="I9" i="7"/>
  <c r="E9" i="18" s="1"/>
  <c r="I8" i="7"/>
  <c r="I18" i="7"/>
  <c r="E18" i="18" s="1"/>
  <c r="I11" i="7"/>
  <c r="E11" i="18" s="1"/>
  <c r="I6" i="7"/>
  <c r="E6" i="18" s="1"/>
  <c r="K6" i="5"/>
  <c r="C6" i="18" s="1"/>
  <c r="K13" i="5"/>
  <c r="C13" i="18" s="1"/>
  <c r="J12" i="4"/>
  <c r="J19" i="4"/>
  <c r="B19" i="18" s="1"/>
  <c r="J10" i="4"/>
  <c r="J17" i="4"/>
  <c r="B17" i="18" s="1"/>
  <c r="J8" i="4"/>
  <c r="J18" i="4"/>
  <c r="B18" i="18" s="1"/>
  <c r="J13" i="4"/>
  <c r="B13" i="18" s="1"/>
  <c r="J9" i="4"/>
  <c r="B9" i="18" s="1"/>
  <c r="N8" i="15"/>
  <c r="N10" i="15"/>
  <c r="M10" i="18" s="1"/>
  <c r="N12" i="15"/>
  <c r="M12" i="18" s="1"/>
  <c r="N6" i="15"/>
  <c r="M6" i="18" s="1"/>
  <c r="N11" i="15"/>
  <c r="M11" i="18" s="1"/>
  <c r="N13" i="15"/>
  <c r="M13" i="18" s="1"/>
  <c r="N16" i="15"/>
  <c r="M16" i="18" s="1"/>
  <c r="N18" i="15"/>
  <c r="M18" i="18" s="1"/>
  <c r="N3" i="15"/>
  <c r="M3" i="18" s="1"/>
  <c r="N17" i="15"/>
  <c r="M17" i="18" s="1"/>
  <c r="N19" i="15"/>
  <c r="M19" i="18" s="1"/>
  <c r="N9" i="15"/>
  <c r="M9" i="18" s="1"/>
  <c r="I6" i="12"/>
  <c r="J6" i="18" s="1"/>
  <c r="I8" i="12"/>
  <c r="I9" i="12"/>
  <c r="J9" i="18" s="1"/>
  <c r="I10" i="12"/>
  <c r="J10" i="18" s="1"/>
  <c r="I11" i="12"/>
  <c r="J11" i="18" s="1"/>
  <c r="I12" i="12"/>
  <c r="J12" i="18" s="1"/>
  <c r="I13" i="12"/>
  <c r="J13" i="18" s="1"/>
  <c r="I16" i="12"/>
  <c r="J16" i="18" s="1"/>
  <c r="I17" i="12"/>
  <c r="J17" i="18" s="1"/>
  <c r="I18" i="12"/>
  <c r="J18" i="18" s="1"/>
  <c r="I19" i="12"/>
  <c r="J19" i="18" s="1"/>
  <c r="K8" i="11"/>
  <c r="I8" i="18" s="1"/>
  <c r="K10" i="11"/>
  <c r="I10" i="18" s="1"/>
  <c r="K16" i="11"/>
  <c r="I16" i="18" s="1"/>
  <c r="K11" i="11"/>
  <c r="I11" i="18" s="1"/>
  <c r="K18" i="11"/>
  <c r="I18" i="18" s="1"/>
  <c r="K12" i="11"/>
  <c r="I12" i="18" s="1"/>
  <c r="K19" i="11"/>
  <c r="I19" i="18" s="1"/>
  <c r="N8" i="10"/>
  <c r="N9" i="10"/>
  <c r="H9" i="18" s="1"/>
  <c r="N11" i="10"/>
  <c r="H11" i="18" s="1"/>
  <c r="N17" i="10"/>
  <c r="H17" i="18" s="1"/>
  <c r="N19" i="10"/>
  <c r="H19" i="18" s="1"/>
  <c r="N6" i="10"/>
  <c r="H6" i="18" s="1"/>
  <c r="N13" i="10"/>
  <c r="H13" i="18" s="1"/>
  <c r="N16" i="10"/>
  <c r="H16" i="18" s="1"/>
  <c r="K9" i="8"/>
  <c r="F9" i="18" s="1"/>
  <c r="K17" i="8"/>
  <c r="F17" i="18" s="1"/>
  <c r="K10" i="8"/>
  <c r="F10" i="18" s="1"/>
  <c r="K11" i="8"/>
  <c r="F11" i="18" s="1"/>
  <c r="K19" i="8"/>
  <c r="F19" i="18" s="1"/>
  <c r="K8" i="8"/>
  <c r="K12" i="8"/>
  <c r="F12" i="18" s="1"/>
  <c r="K13" i="8"/>
  <c r="F13" i="18" s="1"/>
  <c r="L12" i="6"/>
  <c r="D12" i="18" s="1"/>
  <c r="L13" i="6"/>
  <c r="D13" i="18" s="1"/>
  <c r="L8" i="6"/>
  <c r="L10" i="6"/>
  <c r="D10" i="18" s="1"/>
  <c r="L18" i="6"/>
  <c r="D18" i="18" s="1"/>
  <c r="L6" i="6"/>
  <c r="D6" i="18" s="1"/>
  <c r="L9" i="6"/>
  <c r="D9" i="18" s="1"/>
  <c r="L11" i="6"/>
  <c r="D11" i="18" s="1"/>
  <c r="L17" i="6"/>
  <c r="D17" i="18" s="1"/>
  <c r="L19" i="6"/>
  <c r="D19" i="18" s="1"/>
  <c r="L16" i="6"/>
  <c r="D16" i="18" s="1"/>
  <c r="K12" i="5"/>
  <c r="C12" i="18" s="1"/>
  <c r="K8" i="5"/>
  <c r="C8" i="18" s="1"/>
  <c r="K9" i="5"/>
  <c r="C9" i="18" s="1"/>
  <c r="K16" i="5"/>
  <c r="C16" i="18" s="1"/>
  <c r="K17" i="5"/>
  <c r="C17" i="18" s="1"/>
  <c r="K11" i="5"/>
  <c r="C11" i="18" s="1"/>
  <c r="K18" i="5"/>
  <c r="C18" i="18" s="1"/>
  <c r="K19" i="5"/>
  <c r="C19" i="18" s="1"/>
  <c r="J16" i="4"/>
  <c r="B16" i="18" s="1"/>
  <c r="J6" i="4"/>
  <c r="J7" i="4"/>
  <c r="H8" i="18" l="1"/>
  <c r="F8" i="18"/>
  <c r="L8" i="18"/>
  <c r="G8" i="18"/>
  <c r="K8" i="18"/>
  <c r="J8" i="18"/>
  <c r="M8" i="18"/>
  <c r="E8" i="18"/>
  <c r="D8" i="18"/>
  <c r="G9" i="18"/>
  <c r="B12" i="18"/>
  <c r="B11" i="18"/>
  <c r="B10" i="18"/>
  <c r="B8" i="18"/>
  <c r="B7" i="18"/>
  <c r="B6" i="18"/>
  <c r="M4" i="1"/>
  <c r="N4" i="1"/>
  <c r="O4" i="1" s="1" a="1"/>
  <c r="O4" i="1" s="1"/>
  <c r="B5" i="4" s="1"/>
  <c r="W4" i="1"/>
  <c r="AU4" i="1"/>
  <c r="AY4" i="1"/>
  <c r="B15" i="4" s="1"/>
  <c r="C4" i="4"/>
  <c r="M5" i="1"/>
  <c r="N5" i="1"/>
  <c r="O5" i="1" s="1" a="1"/>
  <c r="O5" i="1" s="1"/>
  <c r="C5" i="4" s="1"/>
  <c r="W5" i="1"/>
  <c r="C15" i="4"/>
  <c r="D4" i="4"/>
  <c r="M6" i="1"/>
  <c r="N6" i="1"/>
  <c r="O6" i="1" s="1" a="1"/>
  <c r="O6" i="1" s="1"/>
  <c r="D5" i="4" s="1"/>
  <c r="U6" i="1"/>
  <c r="W6" i="1"/>
  <c r="AY6" i="1"/>
  <c r="D15" i="4" s="1"/>
  <c r="E4" i="4"/>
  <c r="M7" i="1"/>
  <c r="N7" i="1"/>
  <c r="O7" i="1" s="1" a="1"/>
  <c r="O7" i="1" s="1"/>
  <c r="E5" i="4" s="1"/>
  <c r="U7" i="1"/>
  <c r="W7" i="1"/>
  <c r="AY7" i="1"/>
  <c r="E15" i="4" s="1"/>
  <c r="F3" i="4"/>
  <c r="M8" i="1"/>
  <c r="N8" i="1"/>
  <c r="O8" i="1" s="1" a="1"/>
  <c r="O8" i="1" s="1"/>
  <c r="F5" i="4" s="1"/>
  <c r="U8" i="1"/>
  <c r="W8" i="1"/>
  <c r="F15" i="4"/>
  <c r="G4" i="4"/>
  <c r="M9" i="1"/>
  <c r="N9" i="1"/>
  <c r="O9" i="1" s="1" a="1"/>
  <c r="O9" i="1" s="1"/>
  <c r="G5" i="4" s="1"/>
  <c r="U9" i="1"/>
  <c r="W9" i="1"/>
  <c r="AY9" i="1"/>
  <c r="G15" i="4" s="1"/>
  <c r="H3" i="4"/>
  <c r="M10" i="1"/>
  <c r="N10" i="1"/>
  <c r="O10" i="1" s="1" a="1"/>
  <c r="O10" i="1" s="1"/>
  <c r="H5" i="4" s="1"/>
  <c r="U10" i="1"/>
  <c r="W10" i="1"/>
  <c r="AY10" i="1"/>
  <c r="H15" i="4" s="1"/>
  <c r="I4" i="4"/>
  <c r="M11" i="1"/>
  <c r="N11" i="1"/>
  <c r="O11" i="1" s="1" a="1"/>
  <c r="O11" i="1" s="1"/>
  <c r="I5" i="4" s="1"/>
  <c r="U11" i="1"/>
  <c r="W11" i="1"/>
  <c r="AY11" i="1"/>
  <c r="I15" i="4" s="1"/>
  <c r="G15" i="1"/>
  <c r="H15" i="1" s="1" a="1"/>
  <c r="H15" i="1" s="1"/>
  <c r="B4" i="5"/>
  <c r="M15" i="1"/>
  <c r="N15" i="1"/>
  <c r="O15" i="1" s="1" a="1"/>
  <c r="O15" i="1" s="1"/>
  <c r="B5" i="5" s="1"/>
  <c r="V15" i="1" a="1"/>
  <c r="V15" i="1" s="1"/>
  <c r="B7" i="5" s="1"/>
  <c r="U15" i="1"/>
  <c r="W15" i="1"/>
  <c r="AU15" i="1"/>
  <c r="AY15" i="1"/>
  <c r="B15" i="5" s="1"/>
  <c r="G16" i="1"/>
  <c r="H16" i="1" s="1" a="1"/>
  <c r="H16" i="1" s="1"/>
  <c r="C4" i="5"/>
  <c r="M16" i="1"/>
  <c r="N16" i="1"/>
  <c r="O16" i="1" s="1" a="1"/>
  <c r="O16" i="1" s="1"/>
  <c r="C5" i="5" s="1"/>
  <c r="V16" i="1" a="1"/>
  <c r="V16" i="1" s="1"/>
  <c r="C7" i="5" s="1"/>
  <c r="U16" i="1"/>
  <c r="W16" i="1"/>
  <c r="AY16" i="1"/>
  <c r="C15" i="5" s="1"/>
  <c r="G17" i="1"/>
  <c r="H17" i="1" s="1" a="1"/>
  <c r="H17" i="1" s="1"/>
  <c r="D4" i="5"/>
  <c r="M17" i="1"/>
  <c r="N17" i="1"/>
  <c r="O17" i="1" s="1" a="1"/>
  <c r="O17" i="1" s="1"/>
  <c r="D5" i="5" s="1"/>
  <c r="V17" i="1" a="1"/>
  <c r="V17" i="1" s="1"/>
  <c r="D7" i="5" s="1"/>
  <c r="U17" i="1"/>
  <c r="W17" i="1"/>
  <c r="AY17" i="1"/>
  <c r="D15" i="5" s="1"/>
  <c r="G18" i="1"/>
  <c r="H18" i="1" s="1" a="1"/>
  <c r="H18" i="1" s="1"/>
  <c r="E4" i="5"/>
  <c r="M18" i="1"/>
  <c r="N18" i="1"/>
  <c r="O18" i="1" s="1" a="1"/>
  <c r="O18" i="1" s="1"/>
  <c r="E5" i="5" s="1"/>
  <c r="V18" i="1" a="1"/>
  <c r="V18" i="1" s="1"/>
  <c r="E7" i="5" s="1"/>
  <c r="U18" i="1"/>
  <c r="W18" i="1"/>
  <c r="AY18" i="1"/>
  <c r="E15" i="5" s="1"/>
  <c r="G19" i="1"/>
  <c r="H19" i="1" s="1" a="1"/>
  <c r="H19" i="1" s="1"/>
  <c r="F4" i="5"/>
  <c r="M19" i="1"/>
  <c r="N19" i="1"/>
  <c r="O19" i="1" s="1" a="1"/>
  <c r="O19" i="1" s="1"/>
  <c r="F5" i="5" s="1"/>
  <c r="V19" i="1" a="1"/>
  <c r="V19" i="1" s="1"/>
  <c r="F7" i="5" s="1"/>
  <c r="U19" i="1"/>
  <c r="W19" i="1"/>
  <c r="AY19" i="1"/>
  <c r="F15" i="5" s="1"/>
  <c r="G20" i="1"/>
  <c r="H20" i="1" s="1" a="1"/>
  <c r="H20" i="1" s="1"/>
  <c r="G4" i="5"/>
  <c r="M20" i="1"/>
  <c r="N20" i="1"/>
  <c r="O20" i="1" s="1" a="1"/>
  <c r="O20" i="1" s="1"/>
  <c r="G5" i="5" s="1"/>
  <c r="V20" i="1" a="1"/>
  <c r="V20" i="1" s="1"/>
  <c r="G7" i="5" s="1"/>
  <c r="U20" i="1"/>
  <c r="W20" i="1"/>
  <c r="AY20" i="1"/>
  <c r="G15" i="5" s="1"/>
  <c r="G21" i="1"/>
  <c r="H21" i="1" s="1" a="1"/>
  <c r="H21" i="1" s="1"/>
  <c r="H4" i="5"/>
  <c r="M21" i="1"/>
  <c r="N21" i="1"/>
  <c r="O21" i="1" s="1" a="1"/>
  <c r="O21" i="1" s="1"/>
  <c r="H5" i="5" s="1"/>
  <c r="V21" i="1" a="1"/>
  <c r="V21" i="1" s="1"/>
  <c r="H7" i="5" s="1"/>
  <c r="U21" i="1"/>
  <c r="W21" i="1"/>
  <c r="AY21" i="1"/>
  <c r="H15" i="5" s="1"/>
  <c r="G22" i="1"/>
  <c r="H22" i="1" s="1" a="1"/>
  <c r="H22" i="1" s="1"/>
  <c r="I4" i="5"/>
  <c r="M22" i="1"/>
  <c r="N22" i="1"/>
  <c r="O22" i="1" s="1" a="1"/>
  <c r="O22" i="1" s="1"/>
  <c r="I5" i="5" s="1"/>
  <c r="V22" i="1" a="1"/>
  <c r="V22" i="1" s="1"/>
  <c r="I7" i="5" s="1"/>
  <c r="U22" i="1"/>
  <c r="W22" i="1"/>
  <c r="AY22" i="1"/>
  <c r="I15" i="5" s="1"/>
  <c r="G23" i="1"/>
  <c r="H23" i="1" s="1" a="1"/>
  <c r="H23" i="1" s="1"/>
  <c r="J4" i="5"/>
  <c r="M23" i="1"/>
  <c r="N23" i="1"/>
  <c r="O23" i="1" s="1" a="1"/>
  <c r="O23" i="1" s="1"/>
  <c r="J5" i="5" s="1"/>
  <c r="V23" i="1" a="1"/>
  <c r="V23" i="1" s="1"/>
  <c r="J7" i="5" s="1"/>
  <c r="U23" i="1"/>
  <c r="W23" i="1"/>
  <c r="AY23" i="1"/>
  <c r="J15" i="5" s="1"/>
  <c r="G27" i="1"/>
  <c r="H27" i="1" s="1" a="1"/>
  <c r="H27" i="1" s="1"/>
  <c r="B4" i="6"/>
  <c r="M27" i="1"/>
  <c r="N27" i="1"/>
  <c r="O27" i="1" s="1" a="1"/>
  <c r="O27" i="1" s="1"/>
  <c r="B5" i="6" s="1"/>
  <c r="V27" i="1" a="1"/>
  <c r="V27" i="1" s="1"/>
  <c r="B7" i="6" s="1"/>
  <c r="U27" i="1"/>
  <c r="W27" i="1"/>
  <c r="AU27" i="1"/>
  <c r="AY27" i="1"/>
  <c r="B15" i="6" s="1"/>
  <c r="G28" i="1"/>
  <c r="H28" i="1" s="1" a="1"/>
  <c r="H28" i="1" s="1"/>
  <c r="C4" i="6"/>
  <c r="M28" i="1"/>
  <c r="N28" i="1"/>
  <c r="O28" i="1" s="1" a="1"/>
  <c r="O28" i="1" s="1"/>
  <c r="C5" i="6" s="1"/>
  <c r="V28" i="1" a="1"/>
  <c r="V28" i="1" s="1"/>
  <c r="C7" i="6" s="1"/>
  <c r="U28" i="1"/>
  <c r="W28" i="1"/>
  <c r="AY28" i="1"/>
  <c r="C15" i="6" s="1"/>
  <c r="G29" i="1"/>
  <c r="H29" i="1" s="1" a="1"/>
  <c r="H29" i="1" s="1"/>
  <c r="D4" i="6"/>
  <c r="M29" i="1"/>
  <c r="N29" i="1"/>
  <c r="O29" i="1" s="1" a="1"/>
  <c r="O29" i="1" s="1"/>
  <c r="D5" i="6" s="1"/>
  <c r="V29" i="1" a="1"/>
  <c r="V29" i="1" s="1"/>
  <c r="D7" i="6" s="1"/>
  <c r="U29" i="1"/>
  <c r="W29" i="1"/>
  <c r="AY29" i="1"/>
  <c r="D15" i="6" s="1"/>
  <c r="G30" i="1"/>
  <c r="H30" i="1" s="1" a="1"/>
  <c r="H30" i="1" s="1"/>
  <c r="E4" i="6"/>
  <c r="M30" i="1"/>
  <c r="N30" i="1"/>
  <c r="O30" i="1" s="1" a="1"/>
  <c r="O30" i="1" s="1"/>
  <c r="E5" i="6" s="1"/>
  <c r="V30" i="1" a="1"/>
  <c r="V30" i="1" s="1"/>
  <c r="E7" i="6" s="1"/>
  <c r="U30" i="1"/>
  <c r="W30" i="1"/>
  <c r="AY30" i="1"/>
  <c r="E15" i="6" s="1"/>
  <c r="G31" i="1"/>
  <c r="H31" i="1" s="1" a="1"/>
  <c r="H31" i="1" s="1"/>
  <c r="F4" i="6"/>
  <c r="M31" i="1"/>
  <c r="N31" i="1"/>
  <c r="O31" i="1" s="1" a="1"/>
  <c r="O31" i="1" s="1"/>
  <c r="F5" i="6" s="1"/>
  <c r="V31" i="1" a="1"/>
  <c r="V31" i="1" s="1"/>
  <c r="F7" i="6" s="1"/>
  <c r="U31" i="1"/>
  <c r="W31" i="1"/>
  <c r="AY31" i="1"/>
  <c r="F15" i="6" s="1"/>
  <c r="G32" i="1"/>
  <c r="H32" i="1" s="1" a="1"/>
  <c r="H32" i="1" s="1"/>
  <c r="G4" i="6"/>
  <c r="M32" i="1"/>
  <c r="N32" i="1"/>
  <c r="O32" i="1" s="1" a="1"/>
  <c r="O32" i="1" s="1"/>
  <c r="G5" i="6" s="1"/>
  <c r="V32" i="1" a="1"/>
  <c r="V32" i="1" s="1"/>
  <c r="G7" i="6" s="1"/>
  <c r="U32" i="1"/>
  <c r="W32" i="1"/>
  <c r="AY32" i="1"/>
  <c r="G15" i="6" s="1"/>
  <c r="G33" i="1"/>
  <c r="H33" i="1" s="1" a="1"/>
  <c r="H33" i="1" s="1"/>
  <c r="H4" i="6"/>
  <c r="M33" i="1"/>
  <c r="N33" i="1"/>
  <c r="O33" i="1" s="1" a="1"/>
  <c r="O33" i="1" s="1"/>
  <c r="H5" i="6" s="1"/>
  <c r="V33" i="1" a="1"/>
  <c r="V33" i="1" s="1"/>
  <c r="H7" i="6" s="1"/>
  <c r="U33" i="1"/>
  <c r="W33" i="1"/>
  <c r="AY33" i="1"/>
  <c r="H15" i="6" s="1"/>
  <c r="G34" i="1"/>
  <c r="H34" i="1" s="1" a="1"/>
  <c r="H34" i="1" s="1"/>
  <c r="I4" i="6"/>
  <c r="M34" i="1"/>
  <c r="N34" i="1"/>
  <c r="O34" i="1" s="1" a="1"/>
  <c r="O34" i="1" s="1"/>
  <c r="I5" i="6" s="1"/>
  <c r="V34" i="1" a="1"/>
  <c r="V34" i="1" s="1"/>
  <c r="I7" i="6" s="1"/>
  <c r="U34" i="1"/>
  <c r="W34" i="1"/>
  <c r="AY34" i="1"/>
  <c r="I15" i="6" s="1"/>
  <c r="G35" i="1"/>
  <c r="H35" i="1" s="1" a="1"/>
  <c r="H35" i="1" s="1"/>
  <c r="J4" i="6"/>
  <c r="M35" i="1"/>
  <c r="N35" i="1"/>
  <c r="O35" i="1" s="1" a="1"/>
  <c r="O35" i="1" s="1"/>
  <c r="J5" i="6" s="1"/>
  <c r="V35" i="1" a="1"/>
  <c r="V35" i="1" s="1"/>
  <c r="J7" i="6" s="1"/>
  <c r="U35" i="1"/>
  <c r="W35" i="1"/>
  <c r="AY35" i="1"/>
  <c r="J15" i="6" s="1"/>
  <c r="G36" i="1"/>
  <c r="H36" i="1" s="1" a="1"/>
  <c r="H36" i="1" s="1"/>
  <c r="K4" i="6"/>
  <c r="M36" i="1"/>
  <c r="N36" i="1"/>
  <c r="O36" i="1" s="1" a="1"/>
  <c r="O36" i="1" s="1"/>
  <c r="K5" i="6" s="1"/>
  <c r="V36" i="1" a="1"/>
  <c r="V36" i="1" s="1"/>
  <c r="K7" i="6" s="1"/>
  <c r="U36" i="1"/>
  <c r="W36" i="1"/>
  <c r="AY36" i="1"/>
  <c r="K15" i="6" s="1"/>
  <c r="G40" i="1"/>
  <c r="H40" i="1" s="1" a="1"/>
  <c r="H40" i="1" s="1"/>
  <c r="B4" i="7"/>
  <c r="M40" i="1"/>
  <c r="N40" i="1"/>
  <c r="O40" i="1" s="1" a="1"/>
  <c r="O40" i="1" s="1"/>
  <c r="B5" i="7" s="1"/>
  <c r="V40" i="1" a="1"/>
  <c r="V40" i="1" s="1"/>
  <c r="B7" i="7" s="1"/>
  <c r="U40" i="1"/>
  <c r="W40" i="1"/>
  <c r="AU40" i="1"/>
  <c r="AY40" i="1"/>
  <c r="B15" i="7" s="1"/>
  <c r="G41" i="1"/>
  <c r="H41" i="1" s="1" a="1"/>
  <c r="H41" i="1" s="1"/>
  <c r="C4" i="7"/>
  <c r="M41" i="1"/>
  <c r="N41" i="1"/>
  <c r="O41" i="1" s="1" a="1"/>
  <c r="O41" i="1" s="1"/>
  <c r="C5" i="7" s="1"/>
  <c r="V41" i="1" a="1"/>
  <c r="V41" i="1" s="1"/>
  <c r="C7" i="7" s="1"/>
  <c r="U41" i="1"/>
  <c r="W41" i="1"/>
  <c r="AY41" i="1"/>
  <c r="C15" i="7" s="1"/>
  <c r="G42" i="1"/>
  <c r="H42" i="1" s="1" a="1"/>
  <c r="H42" i="1" s="1"/>
  <c r="D4" i="7"/>
  <c r="M42" i="1"/>
  <c r="N42" i="1"/>
  <c r="O42" i="1" s="1" a="1"/>
  <c r="O42" i="1" s="1"/>
  <c r="D5" i="7" s="1"/>
  <c r="V42" i="1" a="1"/>
  <c r="V42" i="1" s="1"/>
  <c r="D7" i="7" s="1"/>
  <c r="U42" i="1"/>
  <c r="W42" i="1"/>
  <c r="AY42" i="1"/>
  <c r="D15" i="7" s="1"/>
  <c r="G43" i="1"/>
  <c r="H43" i="1" s="1" a="1"/>
  <c r="H43" i="1" s="1"/>
  <c r="E4" i="7"/>
  <c r="M43" i="1"/>
  <c r="N43" i="1"/>
  <c r="O43" i="1" s="1" a="1"/>
  <c r="O43" i="1" s="1"/>
  <c r="E5" i="7" s="1"/>
  <c r="V43" i="1" a="1"/>
  <c r="V43" i="1" s="1"/>
  <c r="E7" i="7" s="1"/>
  <c r="U43" i="1"/>
  <c r="W43" i="1"/>
  <c r="AY43" i="1"/>
  <c r="E15" i="7" s="1"/>
  <c r="G44" i="1"/>
  <c r="H44" i="1" s="1" a="1"/>
  <c r="H44" i="1" s="1"/>
  <c r="F4" i="7"/>
  <c r="M44" i="1"/>
  <c r="N44" i="1"/>
  <c r="O44" i="1" s="1" a="1"/>
  <c r="O44" i="1" s="1"/>
  <c r="F5" i="7" s="1"/>
  <c r="V44" i="1" a="1"/>
  <c r="V44" i="1" s="1"/>
  <c r="F7" i="7" s="1"/>
  <c r="U44" i="1"/>
  <c r="W44" i="1"/>
  <c r="AY44" i="1"/>
  <c r="F15" i="7" s="1"/>
  <c r="G45" i="1"/>
  <c r="H45" i="1" s="1" a="1"/>
  <c r="H45" i="1" s="1"/>
  <c r="G4" i="7"/>
  <c r="M45" i="1"/>
  <c r="N45" i="1"/>
  <c r="O45" i="1" s="1" a="1"/>
  <c r="O45" i="1" s="1"/>
  <c r="G5" i="7" s="1"/>
  <c r="V45" i="1" a="1"/>
  <c r="V45" i="1" s="1"/>
  <c r="G7" i="7" s="1"/>
  <c r="U45" i="1"/>
  <c r="W45" i="1"/>
  <c r="AY45" i="1"/>
  <c r="G15" i="7" s="1"/>
  <c r="G46" i="1"/>
  <c r="H46" i="1" s="1" a="1"/>
  <c r="H46" i="1" s="1"/>
  <c r="H4" i="7"/>
  <c r="M46" i="1"/>
  <c r="N46" i="1"/>
  <c r="O46" i="1" s="1" a="1"/>
  <c r="O46" i="1" s="1"/>
  <c r="H5" i="7" s="1"/>
  <c r="V46" i="1" a="1"/>
  <c r="V46" i="1" s="1"/>
  <c r="H7" i="7" s="1"/>
  <c r="U46" i="1"/>
  <c r="W46" i="1"/>
  <c r="AY46" i="1"/>
  <c r="H15" i="7" s="1"/>
  <c r="G50" i="1"/>
  <c r="H50" i="1" s="1" a="1"/>
  <c r="H50" i="1" s="1"/>
  <c r="B4" i="8"/>
  <c r="M50" i="1"/>
  <c r="N50" i="1"/>
  <c r="O50" i="1" s="1" a="1"/>
  <c r="O50" i="1" s="1"/>
  <c r="B5" i="8" s="1"/>
  <c r="V50" i="1" a="1"/>
  <c r="V50" i="1" s="1"/>
  <c r="B7" i="8" s="1"/>
  <c r="U50" i="1"/>
  <c r="W50" i="1"/>
  <c r="AU50" i="1"/>
  <c r="AY50" i="1"/>
  <c r="B15" i="8" s="1"/>
  <c r="G51" i="1"/>
  <c r="H51" i="1" s="1" a="1"/>
  <c r="H51" i="1" s="1"/>
  <c r="C4" i="8"/>
  <c r="M51" i="1"/>
  <c r="N51" i="1"/>
  <c r="O51" i="1" s="1" a="1"/>
  <c r="O51" i="1" s="1"/>
  <c r="C5" i="8" s="1"/>
  <c r="V51" i="1" a="1"/>
  <c r="V51" i="1" s="1"/>
  <c r="C7" i="8" s="1"/>
  <c r="U51" i="1"/>
  <c r="W51" i="1"/>
  <c r="AY51" i="1"/>
  <c r="C15" i="8" s="1"/>
  <c r="G52" i="1"/>
  <c r="H52" i="1" s="1" a="1"/>
  <c r="H52" i="1" s="1"/>
  <c r="D4" i="8"/>
  <c r="M52" i="1"/>
  <c r="N52" i="1"/>
  <c r="O52" i="1" s="1" a="1"/>
  <c r="O52" i="1" s="1"/>
  <c r="D5" i="8" s="1"/>
  <c r="V52" i="1" a="1"/>
  <c r="V52" i="1" s="1"/>
  <c r="D7" i="8" s="1"/>
  <c r="U52" i="1"/>
  <c r="W52" i="1"/>
  <c r="AY52" i="1"/>
  <c r="G53" i="1"/>
  <c r="H53" i="1" s="1" a="1"/>
  <c r="H53" i="1" s="1"/>
  <c r="E4" i="8"/>
  <c r="M53" i="1"/>
  <c r="N53" i="1"/>
  <c r="O53" i="1" s="1" a="1"/>
  <c r="O53" i="1" s="1"/>
  <c r="E5" i="8" s="1"/>
  <c r="V53" i="1" a="1"/>
  <c r="V53" i="1" s="1"/>
  <c r="E7" i="8" s="1"/>
  <c r="U53" i="1"/>
  <c r="W53" i="1"/>
  <c r="AY53" i="1"/>
  <c r="E15" i="8" s="1"/>
  <c r="G54" i="1"/>
  <c r="H54" i="1" s="1" a="1"/>
  <c r="H54" i="1" s="1"/>
  <c r="F4" i="8"/>
  <c r="M54" i="1"/>
  <c r="N54" i="1"/>
  <c r="O54" i="1" s="1" a="1"/>
  <c r="O54" i="1" s="1"/>
  <c r="F5" i="8" s="1"/>
  <c r="V54" i="1" a="1"/>
  <c r="V54" i="1" s="1"/>
  <c r="F7" i="8" s="1"/>
  <c r="U54" i="1"/>
  <c r="W54" i="1"/>
  <c r="AY54" i="1"/>
  <c r="F15" i="8" s="1"/>
  <c r="G55" i="1"/>
  <c r="H55" i="1" s="1" a="1"/>
  <c r="H55" i="1" s="1"/>
  <c r="G4" i="8"/>
  <c r="M55" i="1"/>
  <c r="N55" i="1"/>
  <c r="O55" i="1" s="1" a="1"/>
  <c r="O55" i="1" s="1"/>
  <c r="G5" i="8" s="1"/>
  <c r="V55" i="1" a="1"/>
  <c r="V55" i="1" s="1"/>
  <c r="G7" i="8" s="1"/>
  <c r="U55" i="1"/>
  <c r="W55" i="1"/>
  <c r="AY55" i="1"/>
  <c r="G15" i="8" s="1"/>
  <c r="G56" i="1"/>
  <c r="H56" i="1" s="1" a="1"/>
  <c r="H56" i="1" s="1"/>
  <c r="H4" i="8"/>
  <c r="M56" i="1"/>
  <c r="N56" i="1"/>
  <c r="O56" i="1" s="1" a="1"/>
  <c r="O56" i="1" s="1"/>
  <c r="H5" i="8" s="1"/>
  <c r="V56" i="1" a="1"/>
  <c r="V56" i="1" s="1"/>
  <c r="H7" i="8" s="1"/>
  <c r="U56" i="1"/>
  <c r="W56" i="1"/>
  <c r="AY56" i="1"/>
  <c r="H15" i="8" s="1"/>
  <c r="G57" i="1"/>
  <c r="H57" i="1" s="1" a="1"/>
  <c r="H57" i="1" s="1"/>
  <c r="I4" i="8"/>
  <c r="M57" i="1"/>
  <c r="N57" i="1"/>
  <c r="O57" i="1" s="1" a="1"/>
  <c r="O57" i="1" s="1"/>
  <c r="I5" i="8" s="1"/>
  <c r="V57" i="1" a="1"/>
  <c r="V57" i="1" s="1"/>
  <c r="I7" i="8" s="1"/>
  <c r="U57" i="1"/>
  <c r="W57" i="1"/>
  <c r="AY57" i="1"/>
  <c r="I15" i="8" s="1"/>
  <c r="G58" i="1"/>
  <c r="H58" i="1" s="1" a="1"/>
  <c r="H58" i="1" s="1"/>
  <c r="J4" i="8"/>
  <c r="M58" i="1"/>
  <c r="N58" i="1"/>
  <c r="O58" i="1" s="1" a="1"/>
  <c r="O58" i="1" s="1"/>
  <c r="J5" i="8" s="1"/>
  <c r="V58" i="1" a="1"/>
  <c r="V58" i="1" s="1"/>
  <c r="J7" i="8" s="1"/>
  <c r="U58" i="1"/>
  <c r="W58" i="1"/>
  <c r="AY58" i="1"/>
  <c r="J15" i="8" s="1"/>
  <c r="G62" i="1"/>
  <c r="H62" i="1" s="1" a="1"/>
  <c r="H62" i="1" s="1"/>
  <c r="B4" i="9"/>
  <c r="M62" i="1"/>
  <c r="N62" i="1"/>
  <c r="O62" i="1" s="1" a="1"/>
  <c r="O62" i="1" s="1"/>
  <c r="B5" i="9" s="1"/>
  <c r="V62" i="1" a="1"/>
  <c r="V62" i="1" s="1"/>
  <c r="B7" i="9" s="1"/>
  <c r="U62" i="1"/>
  <c r="W62" i="1"/>
  <c r="AU62" i="1"/>
  <c r="AY62" i="1"/>
  <c r="B15" i="9" s="1"/>
  <c r="G63" i="1"/>
  <c r="H63" i="1" s="1" a="1"/>
  <c r="H63" i="1" s="1"/>
  <c r="C4" i="9"/>
  <c r="M63" i="1"/>
  <c r="N63" i="1"/>
  <c r="O63" i="1" s="1" a="1"/>
  <c r="O63" i="1" s="1"/>
  <c r="C5" i="9" s="1"/>
  <c r="V63" i="1" a="1"/>
  <c r="V63" i="1" s="1"/>
  <c r="C7" i="9" s="1"/>
  <c r="U63" i="1"/>
  <c r="W63" i="1"/>
  <c r="AY63" i="1"/>
  <c r="C15" i="9" s="1"/>
  <c r="G64" i="1"/>
  <c r="H64" i="1" s="1" a="1"/>
  <c r="H64" i="1" s="1"/>
  <c r="D4" i="9"/>
  <c r="M64" i="1"/>
  <c r="N64" i="1"/>
  <c r="O64" i="1" s="1" a="1"/>
  <c r="O64" i="1" s="1"/>
  <c r="D5" i="9" s="1"/>
  <c r="V64" i="1" a="1"/>
  <c r="V64" i="1" s="1"/>
  <c r="D7" i="9" s="1"/>
  <c r="U64" i="1"/>
  <c r="W64" i="1"/>
  <c r="AY64" i="1"/>
  <c r="D15" i="9" s="1"/>
  <c r="G65" i="1"/>
  <c r="H65" i="1" s="1" a="1"/>
  <c r="H65" i="1" s="1"/>
  <c r="E4" i="9"/>
  <c r="M65" i="1"/>
  <c r="N65" i="1"/>
  <c r="O65" i="1" s="1" a="1"/>
  <c r="O65" i="1" s="1"/>
  <c r="E5" i="9" s="1"/>
  <c r="V65" i="1" a="1"/>
  <c r="V65" i="1" s="1"/>
  <c r="E7" i="9" s="1"/>
  <c r="U65" i="1"/>
  <c r="W65" i="1"/>
  <c r="AY65" i="1"/>
  <c r="E15" i="9" s="1"/>
  <c r="G66" i="1"/>
  <c r="H66" i="1" s="1" a="1"/>
  <c r="H66" i="1" s="1"/>
  <c r="F4" i="9"/>
  <c r="M66" i="1"/>
  <c r="N66" i="1"/>
  <c r="O66" i="1" s="1" a="1"/>
  <c r="O66" i="1" s="1"/>
  <c r="F5" i="9" s="1"/>
  <c r="V66" i="1" a="1"/>
  <c r="V66" i="1" s="1"/>
  <c r="F7" i="9" s="1"/>
  <c r="U66" i="1"/>
  <c r="W66" i="1"/>
  <c r="AY66" i="1"/>
  <c r="F15" i="9" s="1"/>
  <c r="G67" i="1"/>
  <c r="H67" i="1" s="1" a="1"/>
  <c r="H67" i="1" s="1"/>
  <c r="G4" i="9"/>
  <c r="M67" i="1"/>
  <c r="N67" i="1"/>
  <c r="O67" i="1" s="1" a="1"/>
  <c r="O67" i="1" s="1"/>
  <c r="G5" i="9" s="1"/>
  <c r="V67" i="1" a="1"/>
  <c r="V67" i="1" s="1"/>
  <c r="G7" i="9" s="1"/>
  <c r="U67" i="1"/>
  <c r="W67" i="1"/>
  <c r="AY67" i="1"/>
  <c r="G15" i="9" s="1"/>
  <c r="G68" i="1"/>
  <c r="H68" i="1" s="1" a="1"/>
  <c r="H68" i="1" s="1"/>
  <c r="H4" i="9"/>
  <c r="M68" i="1"/>
  <c r="N68" i="1"/>
  <c r="O68" i="1" s="1" a="1"/>
  <c r="O68" i="1" s="1"/>
  <c r="H5" i="9" s="1"/>
  <c r="V68" i="1" a="1"/>
  <c r="V68" i="1" s="1"/>
  <c r="H7" i="9" s="1"/>
  <c r="U68" i="1"/>
  <c r="W68" i="1"/>
  <c r="AY68" i="1"/>
  <c r="H15" i="9" s="1"/>
  <c r="G72" i="1"/>
  <c r="H72" i="1" s="1" a="1"/>
  <c r="H72" i="1" s="1"/>
  <c r="B4" i="10"/>
  <c r="M72" i="1"/>
  <c r="N72" i="1"/>
  <c r="O72" i="1" s="1" a="1"/>
  <c r="O72" i="1" s="1"/>
  <c r="B5" i="10" s="1"/>
  <c r="V72" i="1" a="1"/>
  <c r="V72" i="1" s="1"/>
  <c r="B7" i="10" s="1"/>
  <c r="U72" i="1"/>
  <c r="W72" i="1"/>
  <c r="AU72" i="1"/>
  <c r="AY72" i="1"/>
  <c r="B15" i="10" s="1"/>
  <c r="G73" i="1"/>
  <c r="H73" i="1" s="1" a="1"/>
  <c r="H73" i="1" s="1"/>
  <c r="C4" i="10"/>
  <c r="M73" i="1"/>
  <c r="N73" i="1"/>
  <c r="O73" i="1" s="1" a="1"/>
  <c r="O73" i="1" s="1"/>
  <c r="C5" i="10" s="1"/>
  <c r="V73" i="1" a="1"/>
  <c r="V73" i="1" s="1"/>
  <c r="C7" i="10" s="1"/>
  <c r="U73" i="1"/>
  <c r="W73" i="1"/>
  <c r="AY73" i="1"/>
  <c r="C15" i="10" s="1"/>
  <c r="G74" i="1"/>
  <c r="H74" i="1" s="1" a="1"/>
  <c r="H74" i="1" s="1"/>
  <c r="D4" i="10"/>
  <c r="M74" i="1"/>
  <c r="N74" i="1"/>
  <c r="O74" i="1" s="1" a="1"/>
  <c r="O74" i="1" s="1"/>
  <c r="D5" i="10" s="1"/>
  <c r="V74" i="1" a="1"/>
  <c r="V74" i="1" s="1"/>
  <c r="D7" i="10" s="1"/>
  <c r="U74" i="1"/>
  <c r="W74" i="1"/>
  <c r="AY74" i="1"/>
  <c r="D15" i="10" s="1"/>
  <c r="G75" i="1"/>
  <c r="H75" i="1" s="1" a="1"/>
  <c r="H75" i="1" s="1"/>
  <c r="E4" i="10"/>
  <c r="M75" i="1"/>
  <c r="N75" i="1"/>
  <c r="O75" i="1" s="1" a="1"/>
  <c r="O75" i="1" s="1"/>
  <c r="E5" i="10" s="1"/>
  <c r="V75" i="1" a="1"/>
  <c r="V75" i="1" s="1"/>
  <c r="E7" i="10" s="1"/>
  <c r="U75" i="1"/>
  <c r="W75" i="1"/>
  <c r="AY75" i="1"/>
  <c r="E15" i="10" s="1"/>
  <c r="G76" i="1"/>
  <c r="H76" i="1" s="1" a="1"/>
  <c r="H76" i="1" s="1"/>
  <c r="F4" i="10"/>
  <c r="M76" i="1"/>
  <c r="N76" i="1"/>
  <c r="O76" i="1" s="1" a="1"/>
  <c r="O76" i="1" s="1"/>
  <c r="F5" i="10" s="1"/>
  <c r="V76" i="1" a="1"/>
  <c r="V76" i="1" s="1"/>
  <c r="F7" i="10" s="1"/>
  <c r="U76" i="1"/>
  <c r="W76" i="1"/>
  <c r="AY76" i="1"/>
  <c r="F15" i="10" s="1"/>
  <c r="G77" i="1"/>
  <c r="H77" i="1" s="1" a="1"/>
  <c r="H77" i="1" s="1"/>
  <c r="G4" i="10"/>
  <c r="M77" i="1"/>
  <c r="N77" i="1"/>
  <c r="O77" i="1" s="1" a="1"/>
  <c r="O77" i="1" s="1"/>
  <c r="G5" i="10" s="1"/>
  <c r="V77" i="1" a="1"/>
  <c r="V77" i="1" s="1"/>
  <c r="G7" i="10" s="1"/>
  <c r="U77" i="1"/>
  <c r="W77" i="1"/>
  <c r="AY77" i="1"/>
  <c r="G15" i="10" s="1"/>
  <c r="G78" i="1"/>
  <c r="H78" i="1" s="1" a="1"/>
  <c r="H78" i="1" s="1"/>
  <c r="H4" i="10"/>
  <c r="N78" i="1"/>
  <c r="O78" i="1" s="1" a="1"/>
  <c r="O78" i="1" s="1"/>
  <c r="H5" i="10" s="1"/>
  <c r="V78" i="1" a="1"/>
  <c r="V78" i="1" s="1"/>
  <c r="H7" i="10" s="1"/>
  <c r="U78" i="1"/>
  <c r="W78" i="1"/>
  <c r="AY78" i="1"/>
  <c r="H15" i="10" s="1"/>
  <c r="G79" i="1"/>
  <c r="H79" i="1" s="1" a="1"/>
  <c r="H79" i="1" s="1"/>
  <c r="I4" i="10"/>
  <c r="N79" i="1"/>
  <c r="O79" i="1" s="1" a="1"/>
  <c r="O79" i="1" s="1"/>
  <c r="I5" i="10" s="1"/>
  <c r="V79" i="1" a="1"/>
  <c r="V79" i="1" s="1"/>
  <c r="I7" i="10" s="1"/>
  <c r="U79" i="1"/>
  <c r="W79" i="1"/>
  <c r="AY79" i="1"/>
  <c r="I15" i="10" s="1"/>
  <c r="G80" i="1"/>
  <c r="H80" i="1" s="1" a="1"/>
  <c r="H80" i="1" s="1"/>
  <c r="J4" i="10"/>
  <c r="N80" i="1"/>
  <c r="O80" i="1" s="1" a="1"/>
  <c r="O80" i="1" s="1"/>
  <c r="J5" i="10" s="1"/>
  <c r="V80" i="1" a="1"/>
  <c r="V80" i="1" s="1"/>
  <c r="J7" i="10" s="1"/>
  <c r="U80" i="1"/>
  <c r="W80" i="1"/>
  <c r="AY80" i="1"/>
  <c r="J15" i="10" s="1"/>
  <c r="G81" i="1"/>
  <c r="H81" i="1" s="1" a="1"/>
  <c r="H81" i="1" s="1"/>
  <c r="K4" i="10"/>
  <c r="M81" i="1"/>
  <c r="N81" i="1"/>
  <c r="O81" i="1" s="1" a="1"/>
  <c r="O81" i="1" s="1"/>
  <c r="K5" i="10" s="1"/>
  <c r="V81" i="1" a="1"/>
  <c r="V81" i="1" s="1"/>
  <c r="K7" i="10" s="1"/>
  <c r="U81" i="1"/>
  <c r="W81" i="1"/>
  <c r="AY81" i="1"/>
  <c r="K15" i="10" s="1"/>
  <c r="G82" i="1"/>
  <c r="H82" i="1" s="1" a="1"/>
  <c r="H82" i="1" s="1"/>
  <c r="L4" i="10"/>
  <c r="M82" i="1"/>
  <c r="N82" i="1"/>
  <c r="O82" i="1" s="1" a="1"/>
  <c r="O82" i="1" s="1"/>
  <c r="L5" i="10" s="1"/>
  <c r="V82" i="1" a="1"/>
  <c r="V82" i="1" s="1"/>
  <c r="L7" i="10" s="1"/>
  <c r="U82" i="1"/>
  <c r="W82" i="1"/>
  <c r="AY82" i="1"/>
  <c r="L15" i="10" s="1"/>
  <c r="G83" i="1"/>
  <c r="H83" i="1" s="1" a="1"/>
  <c r="H83" i="1" s="1"/>
  <c r="M4" i="10"/>
  <c r="M83" i="1"/>
  <c r="N83" i="1"/>
  <c r="O83" i="1" s="1" a="1"/>
  <c r="O83" i="1" s="1"/>
  <c r="M5" i="10" s="1"/>
  <c r="V83" i="1" a="1"/>
  <c r="V83" i="1" s="1"/>
  <c r="M7" i="10" s="1"/>
  <c r="U83" i="1"/>
  <c r="W83" i="1"/>
  <c r="AY83" i="1"/>
  <c r="M15" i="10" s="1"/>
  <c r="G87" i="1"/>
  <c r="H87" i="1" s="1" a="1"/>
  <c r="H87" i="1" s="1"/>
  <c r="B4" i="11"/>
  <c r="M87" i="1"/>
  <c r="N87" i="1"/>
  <c r="O87" i="1" s="1" a="1"/>
  <c r="O87" i="1" s="1"/>
  <c r="B5" i="11" s="1"/>
  <c r="V87" i="1" a="1"/>
  <c r="V87" i="1" s="1"/>
  <c r="B7" i="11" s="1"/>
  <c r="U87" i="1"/>
  <c r="W87" i="1"/>
  <c r="AU87" i="1"/>
  <c r="AY87" i="1"/>
  <c r="B15" i="11" s="1"/>
  <c r="G88" i="1"/>
  <c r="H88" i="1" s="1" a="1"/>
  <c r="H88" i="1" s="1"/>
  <c r="C4" i="11"/>
  <c r="M88" i="1"/>
  <c r="N88" i="1"/>
  <c r="O88" i="1" s="1" a="1"/>
  <c r="O88" i="1" s="1"/>
  <c r="C5" i="11" s="1"/>
  <c r="V88" i="1" a="1"/>
  <c r="V88" i="1" s="1"/>
  <c r="C7" i="11" s="1"/>
  <c r="U88" i="1"/>
  <c r="W88" i="1"/>
  <c r="AY88" i="1"/>
  <c r="C15" i="11" s="1"/>
  <c r="G89" i="1"/>
  <c r="H89" i="1" s="1" a="1"/>
  <c r="H89" i="1" s="1"/>
  <c r="D4" i="11"/>
  <c r="M89" i="1"/>
  <c r="N89" i="1"/>
  <c r="O89" i="1" s="1" a="1"/>
  <c r="O89" i="1" s="1"/>
  <c r="D5" i="11" s="1"/>
  <c r="V89" i="1" a="1"/>
  <c r="V89" i="1" s="1"/>
  <c r="D7" i="11" s="1"/>
  <c r="U89" i="1"/>
  <c r="W89" i="1"/>
  <c r="AY89" i="1"/>
  <c r="D15" i="11" s="1"/>
  <c r="G90" i="1"/>
  <c r="H90" i="1" s="1" a="1"/>
  <c r="H90" i="1" s="1"/>
  <c r="E4" i="11"/>
  <c r="M90" i="1"/>
  <c r="N90" i="1"/>
  <c r="O90" i="1" s="1" a="1"/>
  <c r="O90" i="1" s="1"/>
  <c r="E5" i="11" s="1"/>
  <c r="V90" i="1" a="1"/>
  <c r="V90" i="1" s="1"/>
  <c r="E7" i="11" s="1"/>
  <c r="U90" i="1"/>
  <c r="W90" i="1"/>
  <c r="AY90" i="1"/>
  <c r="E15" i="11" s="1"/>
  <c r="G91" i="1"/>
  <c r="H91" i="1" s="1" a="1"/>
  <c r="H91" i="1" s="1"/>
  <c r="F4" i="11"/>
  <c r="M91" i="1"/>
  <c r="N91" i="1"/>
  <c r="O91" i="1" s="1" a="1"/>
  <c r="O91" i="1" s="1"/>
  <c r="F5" i="11" s="1"/>
  <c r="V91" i="1" a="1"/>
  <c r="V91" i="1" s="1"/>
  <c r="F7" i="11" s="1"/>
  <c r="U91" i="1"/>
  <c r="W91" i="1"/>
  <c r="AY91" i="1"/>
  <c r="F15" i="11" s="1"/>
  <c r="G92" i="1"/>
  <c r="H92" i="1" s="1" a="1"/>
  <c r="H92" i="1" s="1"/>
  <c r="G4" i="11"/>
  <c r="M92" i="1"/>
  <c r="N92" i="1"/>
  <c r="O92" i="1" s="1" a="1"/>
  <c r="O92" i="1" s="1"/>
  <c r="G5" i="11" s="1"/>
  <c r="V92" i="1" a="1"/>
  <c r="V92" i="1" s="1"/>
  <c r="G7" i="11" s="1"/>
  <c r="U92" i="1"/>
  <c r="W92" i="1"/>
  <c r="AY92" i="1"/>
  <c r="G15" i="11" s="1"/>
  <c r="G93" i="1"/>
  <c r="H93" i="1" s="1" a="1"/>
  <c r="H93" i="1" s="1"/>
  <c r="H4" i="11"/>
  <c r="M93" i="1"/>
  <c r="N93" i="1"/>
  <c r="O93" i="1" s="1" a="1"/>
  <c r="O93" i="1" s="1"/>
  <c r="H5" i="11" s="1"/>
  <c r="V93" i="1" a="1"/>
  <c r="V93" i="1" s="1"/>
  <c r="H7" i="11" s="1"/>
  <c r="U93" i="1"/>
  <c r="W93" i="1"/>
  <c r="AY93" i="1"/>
  <c r="H15" i="11" s="1"/>
  <c r="G94" i="1"/>
  <c r="H94" i="1" s="1" a="1"/>
  <c r="H94" i="1" s="1"/>
  <c r="I4" i="11"/>
  <c r="M94" i="1"/>
  <c r="N94" i="1"/>
  <c r="O94" i="1" s="1" a="1"/>
  <c r="O94" i="1" s="1"/>
  <c r="I5" i="11" s="1"/>
  <c r="V94" i="1" a="1"/>
  <c r="V94" i="1" s="1"/>
  <c r="I7" i="11" s="1"/>
  <c r="U94" i="1"/>
  <c r="W94" i="1"/>
  <c r="AY94" i="1"/>
  <c r="I15" i="11" s="1"/>
  <c r="G95" i="1"/>
  <c r="H95" i="1" s="1" a="1"/>
  <c r="H95" i="1" s="1"/>
  <c r="J4" i="11"/>
  <c r="M95" i="1"/>
  <c r="N95" i="1"/>
  <c r="O95" i="1" s="1" a="1"/>
  <c r="O95" i="1" s="1"/>
  <c r="J5" i="11" s="1"/>
  <c r="V95" i="1" a="1"/>
  <c r="V95" i="1" s="1"/>
  <c r="J7" i="11" s="1"/>
  <c r="U95" i="1"/>
  <c r="W95" i="1"/>
  <c r="AY95" i="1"/>
  <c r="J15" i="11" s="1"/>
  <c r="G99" i="1"/>
  <c r="H99" i="1" s="1" a="1"/>
  <c r="H99" i="1" s="1"/>
  <c r="B4" i="12"/>
  <c r="M99" i="1"/>
  <c r="N99" i="1"/>
  <c r="O99" i="1" s="1" a="1"/>
  <c r="O99" i="1" s="1"/>
  <c r="B5" i="12" s="1"/>
  <c r="V99" i="1" a="1"/>
  <c r="V99" i="1" s="1"/>
  <c r="B7" i="12" s="1"/>
  <c r="U99" i="1"/>
  <c r="W99" i="1"/>
  <c r="AY99" i="1"/>
  <c r="B15" i="12" s="1"/>
  <c r="G100" i="1"/>
  <c r="H100" i="1" s="1" a="1"/>
  <c r="H100" i="1" s="1"/>
  <c r="C4" i="12"/>
  <c r="M100" i="1"/>
  <c r="N100" i="1"/>
  <c r="O100" i="1" s="1" a="1"/>
  <c r="O100" i="1" s="1"/>
  <c r="C5" i="12" s="1"/>
  <c r="V100" i="1" a="1"/>
  <c r="V100" i="1" s="1"/>
  <c r="C7" i="12" s="1"/>
  <c r="U100" i="1"/>
  <c r="W100" i="1"/>
  <c r="AY100" i="1"/>
  <c r="C15" i="12" s="1"/>
  <c r="G101" i="1"/>
  <c r="H101" i="1" s="1" a="1"/>
  <c r="H101" i="1" s="1"/>
  <c r="D4" i="12"/>
  <c r="M101" i="1"/>
  <c r="N101" i="1"/>
  <c r="O101" i="1" s="1" a="1"/>
  <c r="O101" i="1" s="1"/>
  <c r="D5" i="12" s="1"/>
  <c r="V101" i="1" a="1"/>
  <c r="V101" i="1" s="1"/>
  <c r="D7" i="12" s="1"/>
  <c r="U101" i="1"/>
  <c r="W101" i="1"/>
  <c r="AY101" i="1"/>
  <c r="D15" i="12" s="1"/>
  <c r="G102" i="1"/>
  <c r="H102" i="1" s="1" a="1"/>
  <c r="H102" i="1" s="1"/>
  <c r="E4" i="12"/>
  <c r="M102" i="1"/>
  <c r="N102" i="1"/>
  <c r="O102" i="1" s="1" a="1"/>
  <c r="O102" i="1" s="1"/>
  <c r="E5" i="12" s="1"/>
  <c r="V102" i="1" a="1"/>
  <c r="V102" i="1" s="1"/>
  <c r="E7" i="12" s="1"/>
  <c r="U102" i="1"/>
  <c r="W102" i="1"/>
  <c r="AY102" i="1"/>
  <c r="E15" i="12" s="1"/>
  <c r="G103" i="1"/>
  <c r="H103" i="1" s="1" a="1"/>
  <c r="H103" i="1" s="1"/>
  <c r="F3" i="12" s="1"/>
  <c r="M103" i="1"/>
  <c r="N103" i="1"/>
  <c r="O103" i="1" s="1" a="1"/>
  <c r="O103" i="1" s="1"/>
  <c r="F5" i="12" s="1"/>
  <c r="V103" i="1" a="1"/>
  <c r="V103" i="1" s="1"/>
  <c r="F7" i="12" s="1"/>
  <c r="U103" i="1"/>
  <c r="W103" i="1"/>
  <c r="AY103" i="1"/>
  <c r="F15" i="12" s="1"/>
  <c r="G104" i="1"/>
  <c r="H104" i="1" s="1" a="1"/>
  <c r="H104" i="1" s="1"/>
  <c r="G4" i="12"/>
  <c r="M104" i="1"/>
  <c r="N104" i="1"/>
  <c r="O104" i="1" s="1" a="1"/>
  <c r="O104" i="1" s="1"/>
  <c r="G5" i="12" s="1"/>
  <c r="V104" i="1" a="1"/>
  <c r="V104" i="1" s="1"/>
  <c r="G7" i="12" s="1"/>
  <c r="U104" i="1"/>
  <c r="W104" i="1"/>
  <c r="AY104" i="1"/>
  <c r="G15" i="12" s="1"/>
  <c r="G105" i="1"/>
  <c r="H105" i="1" s="1" a="1"/>
  <c r="H105" i="1" s="1"/>
  <c r="H4" i="12"/>
  <c r="M105" i="1"/>
  <c r="N105" i="1"/>
  <c r="O105" i="1" s="1" a="1"/>
  <c r="O105" i="1" s="1"/>
  <c r="H5" i="12" s="1"/>
  <c r="V105" i="1" a="1"/>
  <c r="V105" i="1" s="1"/>
  <c r="H7" i="12" s="1"/>
  <c r="U105" i="1"/>
  <c r="W105" i="1"/>
  <c r="AY105" i="1"/>
  <c r="H15" i="12" s="1"/>
  <c r="G109" i="1"/>
  <c r="H109" i="1" s="1" a="1"/>
  <c r="H109" i="1" s="1"/>
  <c r="B4" i="14"/>
  <c r="M109" i="1"/>
  <c r="N109" i="1"/>
  <c r="O109" i="1" s="1" a="1"/>
  <c r="O109" i="1" s="1"/>
  <c r="B5" i="14" s="1"/>
  <c r="V109" i="1" a="1"/>
  <c r="V109" i="1" s="1"/>
  <c r="B7" i="14" s="1"/>
  <c r="U109" i="1"/>
  <c r="W109" i="1"/>
  <c r="AU109" i="1"/>
  <c r="AY109" i="1"/>
  <c r="B15" i="14" s="1"/>
  <c r="G110" i="1"/>
  <c r="H110" i="1" s="1" a="1"/>
  <c r="H110" i="1" s="1"/>
  <c r="C4" i="14"/>
  <c r="M110" i="1"/>
  <c r="N110" i="1"/>
  <c r="O110" i="1" s="1" a="1"/>
  <c r="O110" i="1" s="1"/>
  <c r="C5" i="14" s="1"/>
  <c r="V110" i="1" a="1"/>
  <c r="V110" i="1" s="1"/>
  <c r="C7" i="14" s="1"/>
  <c r="U110" i="1"/>
  <c r="W110" i="1"/>
  <c r="AY110" i="1"/>
  <c r="C15" i="14" s="1"/>
  <c r="G111" i="1"/>
  <c r="H111" i="1" s="1" a="1"/>
  <c r="H111" i="1" s="1"/>
  <c r="D4" i="14"/>
  <c r="M111" i="1"/>
  <c r="N111" i="1"/>
  <c r="O111" i="1" s="1" a="1"/>
  <c r="O111" i="1" s="1"/>
  <c r="D5" i="14" s="1"/>
  <c r="V111" i="1" a="1"/>
  <c r="V111" i="1" s="1"/>
  <c r="D7" i="14" s="1"/>
  <c r="U111" i="1"/>
  <c r="W111" i="1"/>
  <c r="AY111" i="1"/>
  <c r="D15" i="14" s="1"/>
  <c r="G112" i="1"/>
  <c r="H112" i="1" s="1" a="1"/>
  <c r="H112" i="1" s="1"/>
  <c r="E4" i="14"/>
  <c r="M112" i="1"/>
  <c r="N112" i="1"/>
  <c r="O112" i="1" s="1" a="1"/>
  <c r="O112" i="1" s="1"/>
  <c r="E5" i="14" s="1"/>
  <c r="V112" i="1" a="1"/>
  <c r="V112" i="1" s="1"/>
  <c r="E7" i="14" s="1"/>
  <c r="U112" i="1"/>
  <c r="W112" i="1"/>
  <c r="AY112" i="1"/>
  <c r="E15" i="14" s="1"/>
  <c r="G113" i="1"/>
  <c r="H113" i="1" s="1" a="1"/>
  <c r="H113" i="1" s="1"/>
  <c r="F4" i="14"/>
  <c r="M113" i="1"/>
  <c r="N113" i="1"/>
  <c r="O113" i="1" s="1" a="1"/>
  <c r="O113" i="1" s="1"/>
  <c r="F5" i="14" s="1"/>
  <c r="V113" i="1" a="1"/>
  <c r="V113" i="1" s="1"/>
  <c r="F7" i="14" s="1"/>
  <c r="U113" i="1"/>
  <c r="W113" i="1"/>
  <c r="AY113" i="1"/>
  <c r="F15" i="14" s="1"/>
  <c r="G114" i="1"/>
  <c r="H114" i="1" s="1" a="1"/>
  <c r="H114" i="1" s="1"/>
  <c r="G4" i="14"/>
  <c r="M114" i="1"/>
  <c r="N114" i="1"/>
  <c r="O114" i="1" s="1" a="1"/>
  <c r="O114" i="1" s="1"/>
  <c r="G5" i="14" s="1"/>
  <c r="V114" i="1" a="1"/>
  <c r="V114" i="1" s="1"/>
  <c r="G7" i="14" s="1"/>
  <c r="U114" i="1"/>
  <c r="W114" i="1"/>
  <c r="AY114" i="1"/>
  <c r="G15" i="14" s="1"/>
  <c r="G115" i="1"/>
  <c r="H115" i="1" s="1" a="1"/>
  <c r="H115" i="1" s="1"/>
  <c r="H4" i="14"/>
  <c r="M115" i="1"/>
  <c r="N115" i="1"/>
  <c r="O115" i="1" s="1" a="1"/>
  <c r="O115" i="1" s="1"/>
  <c r="H5" i="14" s="1"/>
  <c r="V115" i="1" a="1"/>
  <c r="V115" i="1" s="1"/>
  <c r="H7" i="14" s="1"/>
  <c r="U115" i="1"/>
  <c r="W115" i="1"/>
  <c r="AY115" i="1"/>
  <c r="H15" i="14" s="1"/>
  <c r="G119" i="1"/>
  <c r="H119" i="1" s="1" a="1"/>
  <c r="H119" i="1" s="1"/>
  <c r="B4" i="13"/>
  <c r="M119" i="1"/>
  <c r="N119" i="1"/>
  <c r="O119" i="1" s="1" a="1"/>
  <c r="O119" i="1" s="1"/>
  <c r="B5" i="13" s="1"/>
  <c r="V119" i="1" a="1"/>
  <c r="V119" i="1" s="1"/>
  <c r="B7" i="13" s="1"/>
  <c r="U119" i="1"/>
  <c r="W119" i="1"/>
  <c r="AU119" i="1"/>
  <c r="AY119" i="1"/>
  <c r="B15" i="13" s="1"/>
  <c r="G120" i="1"/>
  <c r="H120" i="1" s="1" a="1"/>
  <c r="H120" i="1" s="1"/>
  <c r="C4" i="13"/>
  <c r="M120" i="1"/>
  <c r="N120" i="1"/>
  <c r="O120" i="1" s="1" a="1"/>
  <c r="O120" i="1" s="1"/>
  <c r="C5" i="13" s="1"/>
  <c r="V120" i="1" a="1"/>
  <c r="V120" i="1" s="1"/>
  <c r="C7" i="13" s="1"/>
  <c r="U120" i="1"/>
  <c r="W120" i="1"/>
  <c r="AY120" i="1"/>
  <c r="C15" i="13" s="1"/>
  <c r="G121" i="1"/>
  <c r="H121" i="1" s="1" a="1"/>
  <c r="H121" i="1" s="1"/>
  <c r="D4" i="13"/>
  <c r="M121" i="1"/>
  <c r="N121" i="1"/>
  <c r="O121" i="1" s="1" a="1"/>
  <c r="O121" i="1" s="1"/>
  <c r="D5" i="13" s="1"/>
  <c r="V121" i="1" a="1"/>
  <c r="V121" i="1" s="1"/>
  <c r="D7" i="13" s="1"/>
  <c r="U121" i="1"/>
  <c r="W121" i="1"/>
  <c r="AY121" i="1"/>
  <c r="D15" i="13" s="1"/>
  <c r="G122" i="1"/>
  <c r="H122" i="1" s="1" a="1"/>
  <c r="H122" i="1" s="1"/>
  <c r="E4" i="13"/>
  <c r="M122" i="1"/>
  <c r="N122" i="1"/>
  <c r="O122" i="1" s="1" a="1"/>
  <c r="O122" i="1" s="1"/>
  <c r="E5" i="13" s="1"/>
  <c r="V122" i="1" a="1"/>
  <c r="V122" i="1" s="1"/>
  <c r="E7" i="13" s="1"/>
  <c r="U122" i="1"/>
  <c r="W122" i="1"/>
  <c r="AY122" i="1"/>
  <c r="E15" i="13" s="1"/>
  <c r="G123" i="1"/>
  <c r="H123" i="1" s="1" a="1"/>
  <c r="H123" i="1" s="1"/>
  <c r="F4" i="13"/>
  <c r="M123" i="1"/>
  <c r="N123" i="1"/>
  <c r="O123" i="1" s="1" a="1"/>
  <c r="O123" i="1" s="1"/>
  <c r="F5" i="13" s="1"/>
  <c r="V123" i="1" a="1"/>
  <c r="V123" i="1" s="1"/>
  <c r="F7" i="13" s="1"/>
  <c r="U123" i="1"/>
  <c r="W123" i="1"/>
  <c r="AY123" i="1"/>
  <c r="F15" i="13" s="1"/>
  <c r="G124" i="1"/>
  <c r="H124" i="1" s="1" a="1"/>
  <c r="H124" i="1" s="1"/>
  <c r="G4" i="13"/>
  <c r="M124" i="1"/>
  <c r="N124" i="1"/>
  <c r="O124" i="1" s="1" a="1"/>
  <c r="O124" i="1" s="1"/>
  <c r="G5" i="13" s="1"/>
  <c r="V124" i="1" a="1"/>
  <c r="V124" i="1" s="1"/>
  <c r="G7" i="13" s="1"/>
  <c r="U124" i="1"/>
  <c r="W124" i="1"/>
  <c r="AY124" i="1"/>
  <c r="G15" i="13" s="1"/>
  <c r="G125" i="1"/>
  <c r="H125" i="1" s="1" a="1"/>
  <c r="H125" i="1" s="1"/>
  <c r="H4" i="13"/>
  <c r="M125" i="1"/>
  <c r="N125" i="1"/>
  <c r="O125" i="1" s="1" a="1"/>
  <c r="O125" i="1" s="1"/>
  <c r="H5" i="13" s="1"/>
  <c r="V125" i="1" a="1"/>
  <c r="V125" i="1" s="1"/>
  <c r="H7" i="13" s="1"/>
  <c r="U125" i="1"/>
  <c r="W125" i="1"/>
  <c r="AY125" i="1"/>
  <c r="H15" i="13" s="1"/>
  <c r="M129" i="1"/>
  <c r="N129" i="1"/>
  <c r="O129" i="1" s="1" a="1"/>
  <c r="O129" i="1" s="1"/>
  <c r="B5" i="15" s="1"/>
  <c r="V129" i="1" a="1"/>
  <c r="V129" i="1" s="1"/>
  <c r="B7" i="15" s="1"/>
  <c r="U129" i="1"/>
  <c r="W129" i="1"/>
  <c r="AY129" i="1"/>
  <c r="B15" i="15" s="1"/>
  <c r="M130" i="1"/>
  <c r="N130" i="1"/>
  <c r="O130" i="1" s="1" a="1"/>
  <c r="O130" i="1" s="1"/>
  <c r="C5" i="15" s="1"/>
  <c r="V130" i="1" a="1"/>
  <c r="V130" i="1" s="1"/>
  <c r="C7" i="15" s="1"/>
  <c r="U130" i="1"/>
  <c r="W130" i="1"/>
  <c r="AY130" i="1"/>
  <c r="C15" i="15" s="1"/>
  <c r="M131" i="1"/>
  <c r="N131" i="1"/>
  <c r="O131" i="1" s="1" a="1"/>
  <c r="O131" i="1" s="1"/>
  <c r="D5" i="15" s="1"/>
  <c r="V131" i="1" a="1"/>
  <c r="V131" i="1" s="1"/>
  <c r="D7" i="15" s="1"/>
  <c r="U131" i="1"/>
  <c r="W131" i="1"/>
  <c r="AY131" i="1"/>
  <c r="D15" i="15" s="1"/>
  <c r="M132" i="1"/>
  <c r="N132" i="1"/>
  <c r="O132" i="1" s="1" a="1"/>
  <c r="O132" i="1" s="1"/>
  <c r="E5" i="15" s="1"/>
  <c r="V132" i="1" a="1"/>
  <c r="V132" i="1" s="1"/>
  <c r="E7" i="15" s="1"/>
  <c r="U132" i="1"/>
  <c r="W132" i="1"/>
  <c r="AY132" i="1"/>
  <c r="E15" i="15" s="1"/>
  <c r="M133" i="1"/>
  <c r="N133" i="1"/>
  <c r="O133" i="1" s="1" a="1"/>
  <c r="O133" i="1" s="1"/>
  <c r="F5" i="15" s="1"/>
  <c r="V133" i="1" a="1"/>
  <c r="V133" i="1" s="1"/>
  <c r="F7" i="15" s="1"/>
  <c r="U133" i="1"/>
  <c r="W133" i="1"/>
  <c r="AY133" i="1"/>
  <c r="F15" i="15" s="1"/>
  <c r="M134" i="1"/>
  <c r="N134" i="1"/>
  <c r="O134" i="1" s="1" a="1"/>
  <c r="O134" i="1" s="1"/>
  <c r="G5" i="15" s="1"/>
  <c r="V134" i="1" a="1"/>
  <c r="V134" i="1" s="1"/>
  <c r="G7" i="15" s="1"/>
  <c r="U134" i="1"/>
  <c r="W134" i="1"/>
  <c r="AY134" i="1"/>
  <c r="G15" i="15" s="1"/>
  <c r="M135" i="1"/>
  <c r="N135" i="1"/>
  <c r="O135" i="1" s="1" a="1"/>
  <c r="O135" i="1" s="1"/>
  <c r="H5" i="15" s="1"/>
  <c r="V135" i="1" a="1"/>
  <c r="V135" i="1" s="1"/>
  <c r="H7" i="15" s="1"/>
  <c r="U135" i="1"/>
  <c r="W135" i="1"/>
  <c r="AY135" i="1"/>
  <c r="H15" i="15" s="1"/>
  <c r="M136" i="1"/>
  <c r="N136" i="1"/>
  <c r="O136" i="1" s="1" a="1"/>
  <c r="O136" i="1" s="1"/>
  <c r="I5" i="15" s="1"/>
  <c r="V136" i="1" a="1"/>
  <c r="V136" i="1" s="1"/>
  <c r="I7" i="15" s="1"/>
  <c r="U136" i="1"/>
  <c r="W136" i="1"/>
  <c r="AY136" i="1"/>
  <c r="I15" i="15" s="1"/>
  <c r="M137" i="1"/>
  <c r="N137" i="1"/>
  <c r="O137" i="1" s="1" a="1"/>
  <c r="O137" i="1" s="1"/>
  <c r="J5" i="15" s="1"/>
  <c r="V137" i="1" a="1"/>
  <c r="V137" i="1" s="1"/>
  <c r="J7" i="15" s="1"/>
  <c r="U137" i="1"/>
  <c r="W137" i="1"/>
  <c r="AY137" i="1"/>
  <c r="J15" i="15" s="1"/>
  <c r="M138" i="1"/>
  <c r="N138" i="1"/>
  <c r="O138" i="1" s="1" a="1"/>
  <c r="O138" i="1" s="1"/>
  <c r="K5" i="15" s="1"/>
  <c r="V138" i="1" a="1"/>
  <c r="V138" i="1" s="1"/>
  <c r="K7" i="15" s="1"/>
  <c r="U138" i="1"/>
  <c r="W138" i="1"/>
  <c r="AY138" i="1"/>
  <c r="K15" i="15" s="1"/>
  <c r="M139" i="1"/>
  <c r="N139" i="1"/>
  <c r="O139" i="1" s="1" a="1"/>
  <c r="O139" i="1" s="1"/>
  <c r="L5" i="15" s="1"/>
  <c r="V139" i="1" a="1"/>
  <c r="V139" i="1" s="1"/>
  <c r="L7" i="15" s="1"/>
  <c r="U139" i="1"/>
  <c r="W139" i="1"/>
  <c r="AY139" i="1"/>
  <c r="L15" i="15" s="1"/>
  <c r="M140" i="1"/>
  <c r="N140" i="1"/>
  <c r="O140" i="1" s="1" a="1"/>
  <c r="O140" i="1" s="1"/>
  <c r="M5" i="15" s="1"/>
  <c r="V140" i="1" a="1"/>
  <c r="V140" i="1" s="1"/>
  <c r="M7" i="15" s="1"/>
  <c r="W140" i="1"/>
  <c r="AY140" i="1"/>
  <c r="M15" i="15" s="1"/>
  <c r="L15" i="6" l="1"/>
  <c r="D15" i="18" s="1"/>
  <c r="C14" i="7"/>
  <c r="H14" i="7"/>
  <c r="D14" i="7"/>
  <c r="F14" i="7"/>
  <c r="E14" i="7"/>
  <c r="G14" i="7"/>
  <c r="D14" i="9"/>
  <c r="E14" i="9"/>
  <c r="C14" i="9"/>
  <c r="F14" i="9"/>
  <c r="H14" i="9"/>
  <c r="G14" i="9"/>
  <c r="D14" i="4"/>
  <c r="I14" i="4"/>
  <c r="C14" i="4"/>
  <c r="E14" i="4"/>
  <c r="G14" i="4"/>
  <c r="F14" i="4"/>
  <c r="H14" i="4"/>
  <c r="H14" i="14"/>
  <c r="G14" i="14"/>
  <c r="C14" i="14"/>
  <c r="F14" i="14"/>
  <c r="D14" i="14"/>
  <c r="E14" i="14"/>
  <c r="E14" i="8"/>
  <c r="F14" i="8"/>
  <c r="G14" i="8"/>
  <c r="J14" i="8"/>
  <c r="H14" i="8"/>
  <c r="I14" i="8"/>
  <c r="C14" i="8"/>
  <c r="D14" i="8"/>
  <c r="J14" i="10"/>
  <c r="K14" i="10"/>
  <c r="C14" i="10"/>
  <c r="D14" i="10"/>
  <c r="L14" i="10"/>
  <c r="M14" i="10"/>
  <c r="E14" i="10"/>
  <c r="H14" i="10"/>
  <c r="I14" i="10"/>
  <c r="F14" i="10"/>
  <c r="G14" i="10"/>
  <c r="F14" i="11"/>
  <c r="G14" i="11"/>
  <c r="H14" i="11"/>
  <c r="E14" i="11"/>
  <c r="I14" i="11"/>
  <c r="J14" i="11"/>
  <c r="C14" i="11"/>
  <c r="D14" i="11"/>
  <c r="H14" i="13"/>
  <c r="C14" i="13"/>
  <c r="D14" i="13"/>
  <c r="F14" i="13"/>
  <c r="G14" i="13"/>
  <c r="E14" i="13"/>
  <c r="I14" i="12"/>
  <c r="C14" i="6"/>
  <c r="D14" i="6"/>
  <c r="H14" i="6"/>
  <c r="E14" i="6"/>
  <c r="I14" i="6"/>
  <c r="F14" i="6"/>
  <c r="G14" i="6"/>
  <c r="J14" i="6"/>
  <c r="K14" i="6"/>
  <c r="F14" i="5"/>
  <c r="G14" i="5"/>
  <c r="H14" i="5"/>
  <c r="J14" i="5"/>
  <c r="I14" i="5"/>
  <c r="E14" i="5"/>
  <c r="C14" i="5"/>
  <c r="D14" i="5"/>
  <c r="B14" i="13"/>
  <c r="I14" i="13" s="1"/>
  <c r="B14" i="10"/>
  <c r="B14" i="11"/>
  <c r="B14" i="6"/>
  <c r="B14" i="7"/>
  <c r="B14" i="14"/>
  <c r="I14" i="14" s="1"/>
  <c r="B14" i="9"/>
  <c r="B14" i="4"/>
  <c r="B14" i="8"/>
  <c r="B14" i="5"/>
  <c r="E4" i="15"/>
  <c r="E21" i="15" s="1"/>
  <c r="B132" i="1"/>
  <c r="B4" i="4"/>
  <c r="B4" i="1"/>
  <c r="F4" i="4"/>
  <c r="B8" i="1"/>
  <c r="H4" i="15"/>
  <c r="H21" i="15" s="1"/>
  <c r="B135" i="1"/>
  <c r="L4" i="15"/>
  <c r="L21" i="15" s="1"/>
  <c r="B139" i="1"/>
  <c r="I4" i="15"/>
  <c r="I21" i="15" s="1"/>
  <c r="B136" i="1"/>
  <c r="F4" i="15"/>
  <c r="F21" i="15" s="1"/>
  <c r="B133" i="1"/>
  <c r="C4" i="15"/>
  <c r="C21" i="15" s="1"/>
  <c r="B130" i="1"/>
  <c r="B4" i="15"/>
  <c r="B21" i="15" s="1"/>
  <c r="B129" i="1"/>
  <c r="K4" i="15"/>
  <c r="K21" i="15" s="1"/>
  <c r="B138" i="1"/>
  <c r="M4" i="15"/>
  <c r="M21" i="15" s="1"/>
  <c r="B140" i="1"/>
  <c r="F4" i="12"/>
  <c r="I4" i="12" s="1"/>
  <c r="J4" i="18" s="1"/>
  <c r="B103" i="1"/>
  <c r="J4" i="15"/>
  <c r="J21" i="15" s="1"/>
  <c r="B137" i="1"/>
  <c r="D4" i="15"/>
  <c r="D21" i="15" s="1"/>
  <c r="B131" i="1"/>
  <c r="H4" i="4"/>
  <c r="B10" i="1"/>
  <c r="G4" i="15"/>
  <c r="G21" i="15" s="1"/>
  <c r="B134" i="1"/>
  <c r="B3" i="8"/>
  <c r="B50" i="1"/>
  <c r="E3" i="7"/>
  <c r="B43" i="1"/>
  <c r="K3" i="6"/>
  <c r="B36" i="1"/>
  <c r="G3" i="6"/>
  <c r="B32" i="1"/>
  <c r="C3" i="6"/>
  <c r="B28" i="1"/>
  <c r="H3" i="5"/>
  <c r="B21" i="1"/>
  <c r="D3" i="5"/>
  <c r="B17" i="1"/>
  <c r="C3" i="12"/>
  <c r="B100" i="1"/>
  <c r="F3" i="10"/>
  <c r="B76" i="1"/>
  <c r="B3" i="10"/>
  <c r="B72" i="1"/>
  <c r="E3" i="9"/>
  <c r="B65" i="1"/>
  <c r="J3" i="8"/>
  <c r="B58" i="1"/>
  <c r="F3" i="8"/>
  <c r="B54" i="1"/>
  <c r="H3" i="14"/>
  <c r="B115" i="1"/>
  <c r="M3" i="10"/>
  <c r="B83" i="1"/>
  <c r="I3" i="4"/>
  <c r="B11" i="1"/>
  <c r="J3" i="10"/>
  <c r="B80" i="1"/>
  <c r="F3" i="7"/>
  <c r="B44" i="1"/>
  <c r="B3" i="7"/>
  <c r="B40" i="1"/>
  <c r="D3" i="6"/>
  <c r="B29" i="1"/>
  <c r="I3" i="5"/>
  <c r="B22" i="1"/>
  <c r="F3" i="13"/>
  <c r="B123" i="1"/>
  <c r="E3" i="14"/>
  <c r="B112" i="1"/>
  <c r="D3" i="12"/>
  <c r="B101" i="1"/>
  <c r="F3" i="11"/>
  <c r="B91" i="1"/>
  <c r="G3" i="10"/>
  <c r="B77" i="1"/>
  <c r="F3" i="9"/>
  <c r="B66" i="1"/>
  <c r="G3" i="8"/>
  <c r="B55" i="1"/>
  <c r="E3" i="11"/>
  <c r="B90" i="1"/>
  <c r="E3" i="4"/>
  <c r="B7" i="1"/>
  <c r="C3" i="8"/>
  <c r="B51" i="1"/>
  <c r="H3" i="6"/>
  <c r="B33" i="1"/>
  <c r="E3" i="5"/>
  <c r="B18" i="1"/>
  <c r="B3" i="13"/>
  <c r="B119" i="1"/>
  <c r="H3" i="12"/>
  <c r="B105" i="1"/>
  <c r="J3" i="11"/>
  <c r="B95" i="1"/>
  <c r="B3" i="11"/>
  <c r="B87" i="1"/>
  <c r="C3" i="10"/>
  <c r="B73" i="1"/>
  <c r="B3" i="9"/>
  <c r="B62" i="1"/>
  <c r="I3" i="6"/>
  <c r="B34" i="1"/>
  <c r="E3" i="6"/>
  <c r="B30" i="1"/>
  <c r="J3" i="5"/>
  <c r="B23" i="1"/>
  <c r="F3" i="5"/>
  <c r="B19" i="1"/>
  <c r="B3" i="5"/>
  <c r="B15" i="1"/>
  <c r="D3" i="14"/>
  <c r="B111" i="1"/>
  <c r="C3" i="11"/>
  <c r="B88" i="1"/>
  <c r="H3" i="10"/>
  <c r="B78" i="1"/>
  <c r="G3" i="9"/>
  <c r="B67" i="1"/>
  <c r="C3" i="9"/>
  <c r="B63" i="1"/>
  <c r="H3" i="8"/>
  <c r="B56" i="1"/>
  <c r="C3" i="4"/>
  <c r="B5" i="1"/>
  <c r="G3" i="12"/>
  <c r="B104" i="1"/>
  <c r="F3" i="14"/>
  <c r="B113" i="1"/>
  <c r="G3" i="11"/>
  <c r="B92" i="1"/>
  <c r="K3" i="10"/>
  <c r="B81" i="1"/>
  <c r="D3" i="10"/>
  <c r="B74" i="1"/>
  <c r="G3" i="4"/>
  <c r="B9" i="1"/>
  <c r="C3" i="7"/>
  <c r="B41" i="1"/>
  <c r="G3" i="13"/>
  <c r="B124" i="1"/>
  <c r="H3" i="7"/>
  <c r="B46" i="1"/>
  <c r="D3" i="7"/>
  <c r="B42" i="1"/>
  <c r="J3" i="6"/>
  <c r="B35" i="1"/>
  <c r="F3" i="6"/>
  <c r="B31" i="1"/>
  <c r="B3" i="6"/>
  <c r="B27" i="1"/>
  <c r="G3" i="5"/>
  <c r="B20" i="1"/>
  <c r="C3" i="5"/>
  <c r="B16" i="1"/>
  <c r="E3" i="13"/>
  <c r="B122" i="1"/>
  <c r="D3" i="8"/>
  <c r="B52" i="1"/>
  <c r="B3" i="14"/>
  <c r="B109" i="1"/>
  <c r="E3" i="10"/>
  <c r="B75" i="1"/>
  <c r="E3" i="8"/>
  <c r="B53" i="1"/>
  <c r="I3" i="11"/>
  <c r="B94" i="1"/>
  <c r="G3" i="7"/>
  <c r="B45" i="1"/>
  <c r="C3" i="13"/>
  <c r="B120" i="1"/>
  <c r="E3" i="12"/>
  <c r="B102" i="1"/>
  <c r="H3" i="13"/>
  <c r="B125" i="1"/>
  <c r="D3" i="13"/>
  <c r="B121" i="1"/>
  <c r="G3" i="14"/>
  <c r="B114" i="1"/>
  <c r="C3" i="14"/>
  <c r="B110" i="1"/>
  <c r="B3" i="12"/>
  <c r="B99" i="1"/>
  <c r="H3" i="11"/>
  <c r="B93" i="1"/>
  <c r="D3" i="11"/>
  <c r="B89" i="1"/>
  <c r="L3" i="10"/>
  <c r="B82" i="1"/>
  <c r="H3" i="9"/>
  <c r="B68" i="1"/>
  <c r="D3" i="9"/>
  <c r="B64" i="1"/>
  <c r="I3" i="8"/>
  <c r="B57" i="1"/>
  <c r="I3" i="10"/>
  <c r="B79" i="1"/>
  <c r="D3" i="4"/>
  <c r="B6" i="1"/>
  <c r="L5" i="6"/>
  <c r="D5" i="18" s="1"/>
  <c r="K7" i="5"/>
  <c r="C7" i="18" s="1"/>
  <c r="I7" i="13"/>
  <c r="L7" i="18" s="1"/>
  <c r="I7" i="14"/>
  <c r="K7" i="18" s="1"/>
  <c r="K7" i="8"/>
  <c r="F7" i="18" s="1"/>
  <c r="K5" i="5"/>
  <c r="C5" i="18" s="1"/>
  <c r="K5" i="8"/>
  <c r="N7" i="15"/>
  <c r="M7" i="18" s="1"/>
  <c r="N5" i="10"/>
  <c r="N7" i="10"/>
  <c r="H7" i="18" s="1"/>
  <c r="N5" i="15"/>
  <c r="K4" i="8"/>
  <c r="F4" i="18" s="1"/>
  <c r="I7" i="7"/>
  <c r="E7" i="18" s="1"/>
  <c r="L7" i="6"/>
  <c r="D7" i="18" s="1"/>
  <c r="K4" i="5"/>
  <c r="C4" i="18" s="1"/>
  <c r="K7" i="11"/>
  <c r="I7" i="18" s="1"/>
  <c r="N4" i="10"/>
  <c r="H4" i="18" s="1"/>
  <c r="I7" i="9"/>
  <c r="G7" i="18" s="1"/>
  <c r="I5" i="7"/>
  <c r="I5" i="13"/>
  <c r="K5" i="11"/>
  <c r="I5" i="18" s="1"/>
  <c r="I5" i="9"/>
  <c r="I4" i="7"/>
  <c r="E4" i="18" s="1"/>
  <c r="L4" i="6"/>
  <c r="I4" i="9"/>
  <c r="G4" i="18" s="1"/>
  <c r="K4" i="11"/>
  <c r="I4" i="18" s="1"/>
  <c r="I5" i="14"/>
  <c r="I5" i="12"/>
  <c r="I4" i="13"/>
  <c r="L4" i="18" s="1"/>
  <c r="I7" i="12"/>
  <c r="J7" i="18" s="1"/>
  <c r="I4" i="14"/>
  <c r="K4" i="18" s="1"/>
  <c r="J5" i="4"/>
  <c r="I15" i="9"/>
  <c r="G15" i="18" s="1"/>
  <c r="I15" i="7"/>
  <c r="E15" i="18" s="1"/>
  <c r="N15" i="15"/>
  <c r="M15" i="18" s="1"/>
  <c r="K15" i="5"/>
  <c r="C15" i="18" s="1"/>
  <c r="J15" i="4"/>
  <c r="B15" i="18" s="1"/>
  <c r="I15" i="12"/>
  <c r="J15" i="18" s="1"/>
  <c r="I15" i="13"/>
  <c r="L15" i="18" s="1"/>
  <c r="N15" i="10"/>
  <c r="H15" i="18" s="1"/>
  <c r="D15" i="8"/>
  <c r="K15" i="8" s="1"/>
  <c r="I15" i="14"/>
  <c r="K15" i="18" s="1"/>
  <c r="K15" i="11"/>
  <c r="I15" i="18" s="1"/>
  <c r="N14" i="10" l="1"/>
  <c r="L14" i="6"/>
  <c r="K14" i="5"/>
  <c r="K14" i="11"/>
  <c r="I14" i="7"/>
  <c r="I14" i="9"/>
  <c r="K14" i="8"/>
  <c r="I21" i="11"/>
  <c r="D21" i="12"/>
  <c r="G21" i="10"/>
  <c r="I21" i="10"/>
  <c r="H21" i="7"/>
  <c r="G21" i="7"/>
  <c r="J14" i="4"/>
  <c r="H21" i="11"/>
  <c r="D21" i="6"/>
  <c r="C5" i="1"/>
  <c r="C6" i="1"/>
  <c r="C7" i="1"/>
  <c r="C8" i="1"/>
  <c r="C9" i="1"/>
  <c r="C10" i="1"/>
  <c r="C11" i="1"/>
  <c r="C4" i="1"/>
  <c r="F21" i="8"/>
  <c r="K21" i="10"/>
  <c r="E21" i="13"/>
  <c r="G21" i="13"/>
  <c r="J21" i="11"/>
  <c r="G21" i="11"/>
  <c r="C21" i="9"/>
  <c r="C21" i="13"/>
  <c r="D21" i="5"/>
  <c r="D21" i="13"/>
  <c r="F21" i="14"/>
  <c r="J21" i="8"/>
  <c r="M5" i="18"/>
  <c r="L5" i="18"/>
  <c r="K5" i="18"/>
  <c r="J5" i="18"/>
  <c r="H5" i="18"/>
  <c r="G5" i="18"/>
  <c r="F5" i="18"/>
  <c r="E5" i="18"/>
  <c r="B5" i="18"/>
  <c r="H21" i="13"/>
  <c r="F21" i="13"/>
  <c r="G21" i="14"/>
  <c r="F21" i="7"/>
  <c r="J21" i="6"/>
  <c r="K21" i="6"/>
  <c r="G21" i="4"/>
  <c r="G21" i="9"/>
  <c r="H21" i="14"/>
  <c r="C21" i="10"/>
  <c r="D21" i="10"/>
  <c r="D21" i="9"/>
  <c r="H21" i="9"/>
  <c r="E21" i="9"/>
  <c r="H21" i="6"/>
  <c r="I21" i="4"/>
  <c r="F21" i="11"/>
  <c r="C21" i="11"/>
  <c r="E21" i="6"/>
  <c r="H21" i="4"/>
  <c r="G21" i="5"/>
  <c r="J21" i="5"/>
  <c r="F21" i="6"/>
  <c r="C21" i="4"/>
  <c r="G21" i="6"/>
  <c r="E21" i="8"/>
  <c r="I21" i="6"/>
  <c r="F21" i="9"/>
  <c r="H21" i="10"/>
  <c r="H21" i="8"/>
  <c r="C21" i="12"/>
  <c r="D21" i="7"/>
  <c r="C21" i="14"/>
  <c r="E21" i="4"/>
  <c r="B21" i="6"/>
  <c r="D21" i="14"/>
  <c r="E21" i="5"/>
  <c r="I21" i="5"/>
  <c r="M21" i="10"/>
  <c r="F21" i="10"/>
  <c r="H21" i="5"/>
  <c r="C21" i="8"/>
  <c r="F21" i="5"/>
  <c r="K3" i="5"/>
  <c r="C3" i="18" s="1"/>
  <c r="C50" i="1"/>
  <c r="D21" i="8"/>
  <c r="J3" i="4"/>
  <c r="B3" i="18" s="1"/>
  <c r="F21" i="12"/>
  <c r="J4" i="4"/>
  <c r="B4" i="18" s="1"/>
  <c r="F21" i="4"/>
  <c r="N4" i="15"/>
  <c r="M4" i="18" s="1"/>
  <c r="E21" i="12"/>
  <c r="L3" i="6"/>
  <c r="K3" i="8"/>
  <c r="F3" i="18" s="1"/>
  <c r="B21" i="12"/>
  <c r="I3" i="13"/>
  <c r="L3" i="18" s="1"/>
  <c r="N3" i="10"/>
  <c r="H3" i="18" s="1"/>
  <c r="I3" i="7"/>
  <c r="E3" i="18" s="1"/>
  <c r="K3" i="11"/>
  <c r="I3" i="14"/>
  <c r="K3" i="18" s="1"/>
  <c r="I3" i="9"/>
  <c r="G3" i="18" s="1"/>
  <c r="I3" i="12"/>
  <c r="D30" i="16"/>
  <c r="I21" i="8"/>
  <c r="G21" i="8"/>
  <c r="D93" i="16"/>
  <c r="C102" i="1"/>
  <c r="C103" i="1"/>
  <c r="C104" i="1"/>
  <c r="C100" i="1"/>
  <c r="C101" i="1"/>
  <c r="C105" i="1"/>
  <c r="C99" i="1"/>
  <c r="C79" i="1"/>
  <c r="C77" i="1"/>
  <c r="C80" i="1"/>
  <c r="C81" i="1"/>
  <c r="C74" i="1"/>
  <c r="C82" i="1"/>
  <c r="C83" i="1"/>
  <c r="C78" i="1"/>
  <c r="C72" i="1"/>
  <c r="C75" i="1"/>
  <c r="C73" i="1"/>
  <c r="C76" i="1"/>
  <c r="C20" i="1"/>
  <c r="C15" i="1"/>
  <c r="C18" i="1"/>
  <c r="C21" i="1"/>
  <c r="C19" i="1"/>
  <c r="C22" i="1"/>
  <c r="C17" i="1"/>
  <c r="C23" i="1"/>
  <c r="C16" i="1"/>
  <c r="C35" i="1"/>
  <c r="C36" i="1"/>
  <c r="C27" i="1"/>
  <c r="C28" i="1"/>
  <c r="C29" i="1"/>
  <c r="C30" i="1"/>
  <c r="C31" i="1"/>
  <c r="C32" i="1"/>
  <c r="C33" i="1"/>
  <c r="C34" i="1"/>
  <c r="C45" i="1"/>
  <c r="C46" i="1"/>
  <c r="C40" i="1"/>
  <c r="C41" i="1"/>
  <c r="C42" i="1"/>
  <c r="C43" i="1"/>
  <c r="C44" i="1"/>
  <c r="C56" i="1"/>
  <c r="C57" i="1"/>
  <c r="C51" i="1"/>
  <c r="C52" i="1"/>
  <c r="C53" i="1"/>
  <c r="C54" i="1"/>
  <c r="C55" i="1"/>
  <c r="C58" i="1"/>
  <c r="C67" i="1"/>
  <c r="C68" i="1"/>
  <c r="C65" i="1"/>
  <c r="C62" i="1"/>
  <c r="C64" i="1"/>
  <c r="C66" i="1"/>
  <c r="C63" i="1"/>
  <c r="C92" i="1"/>
  <c r="C88" i="1"/>
  <c r="C93" i="1"/>
  <c r="C90" i="1"/>
  <c r="C94" i="1"/>
  <c r="C89" i="1"/>
  <c r="C95" i="1"/>
  <c r="C87" i="1"/>
  <c r="C91" i="1"/>
  <c r="C131" i="1"/>
  <c r="C132" i="1"/>
  <c r="C133" i="1"/>
  <c r="C134" i="1"/>
  <c r="C136" i="1"/>
  <c r="C135" i="1"/>
  <c r="C137" i="1"/>
  <c r="C138" i="1"/>
  <c r="C139" i="1"/>
  <c r="C140" i="1"/>
  <c r="C129" i="1"/>
  <c r="C130" i="1"/>
  <c r="C120" i="1"/>
  <c r="C121" i="1"/>
  <c r="C122" i="1"/>
  <c r="C123" i="1"/>
  <c r="C124" i="1"/>
  <c r="C125" i="1"/>
  <c r="C119" i="1"/>
  <c r="C115" i="1"/>
  <c r="C109" i="1"/>
  <c r="C110" i="1"/>
  <c r="C111" i="1"/>
  <c r="C112" i="1"/>
  <c r="C113" i="1"/>
  <c r="C114" i="1"/>
  <c r="C21" i="7"/>
  <c r="H21" i="12"/>
  <c r="E21" i="11"/>
  <c r="D1" i="16"/>
  <c r="L21" i="10"/>
  <c r="E21" i="14"/>
  <c r="G21" i="12"/>
  <c r="D21" i="11"/>
  <c r="E21" i="10"/>
  <c r="C21" i="6"/>
  <c r="J21" i="10"/>
  <c r="D21" i="4"/>
  <c r="D4" i="18"/>
  <c r="D87" i="16"/>
  <c r="D15" i="16"/>
  <c r="F15" i="18"/>
  <c r="D50" i="16"/>
  <c r="D88" i="16"/>
  <c r="B59" i="1"/>
  <c r="D100" i="16"/>
  <c r="D70" i="16"/>
  <c r="D66" i="16"/>
  <c r="D39" i="16"/>
  <c r="D8" i="16"/>
  <c r="D92" i="16"/>
  <c r="D65" i="16"/>
  <c r="D25" i="16"/>
  <c r="D61" i="16"/>
  <c r="D47" i="16"/>
  <c r="D42" i="16"/>
  <c r="D101" i="16"/>
  <c r="D6" i="16"/>
  <c r="D11" i="16"/>
  <c r="D3" i="16"/>
  <c r="D60" i="16"/>
  <c r="D46" i="16"/>
  <c r="B96" i="1"/>
  <c r="D94" i="16"/>
  <c r="B126" i="1"/>
  <c r="D90" i="16"/>
  <c r="D91" i="16"/>
  <c r="D49" i="16"/>
  <c r="D2" i="16"/>
  <c r="D43" i="16"/>
  <c r="D5" i="16"/>
  <c r="D41" i="16"/>
  <c r="D44" i="16"/>
  <c r="D22" i="16"/>
  <c r="D13" i="16"/>
  <c r="D72" i="16"/>
  <c r="D14" i="16"/>
  <c r="D83" i="16"/>
  <c r="D67" i="16"/>
  <c r="D38" i="16"/>
  <c r="D45" i="16"/>
  <c r="D17" i="16"/>
  <c r="D21" i="16"/>
  <c r="D23" i="16"/>
  <c r="D31" i="16"/>
  <c r="D35" i="16"/>
  <c r="D89" i="16"/>
  <c r="D59" i="16"/>
  <c r="D33" i="16"/>
  <c r="D99" i="16"/>
  <c r="D104" i="16"/>
  <c r="D69" i="16"/>
  <c r="B12" i="1"/>
  <c r="D36" i="16"/>
  <c r="B69" i="1"/>
  <c r="D56" i="16"/>
  <c r="D24" i="16"/>
  <c r="D74" i="16"/>
  <c r="B116" i="1"/>
  <c r="D63" i="16"/>
  <c r="D62" i="16"/>
  <c r="D79" i="16"/>
  <c r="D28" i="16"/>
  <c r="D71" i="16"/>
  <c r="D103" i="16"/>
  <c r="B37" i="1"/>
  <c r="D16" i="16"/>
  <c r="B141" i="1"/>
  <c r="D27" i="16"/>
  <c r="D54" i="16"/>
  <c r="D4" i="16"/>
  <c r="D34" i="16"/>
  <c r="D19" i="16"/>
  <c r="D85" i="16"/>
  <c r="B106" i="1"/>
  <c r="D82" i="16"/>
  <c r="D80" i="16"/>
  <c r="D86" i="16"/>
  <c r="D52" i="16"/>
  <c r="D7" i="16"/>
  <c r="D48" i="16"/>
  <c r="D57" i="16"/>
  <c r="D53" i="16"/>
  <c r="D76" i="16"/>
  <c r="D95" i="16"/>
  <c r="D68" i="16"/>
  <c r="D73" i="16"/>
  <c r="D32" i="16"/>
  <c r="D10" i="16"/>
  <c r="D98" i="16"/>
  <c r="D96" i="16"/>
  <c r="D97" i="16"/>
  <c r="D102" i="16"/>
  <c r="D51" i="16"/>
  <c r="D9" i="16"/>
  <c r="D37" i="16"/>
  <c r="B84" i="1"/>
  <c r="D84" i="16"/>
  <c r="D77" i="16"/>
  <c r="D75" i="16"/>
  <c r="D58" i="16"/>
  <c r="D40" i="16"/>
  <c r="D29" i="16"/>
  <c r="D64" i="16"/>
  <c r="D81" i="16"/>
  <c r="D12" i="16"/>
  <c r="D18" i="16"/>
  <c r="D55" i="16"/>
  <c r="D20" i="16"/>
  <c r="B21" i="9"/>
  <c r="B21" i="5"/>
  <c r="B21" i="10"/>
  <c r="B21" i="8"/>
  <c r="B21" i="11"/>
  <c r="B21" i="14"/>
  <c r="B21" i="4"/>
  <c r="B21" i="7"/>
  <c r="B21" i="13"/>
  <c r="C10" i="5"/>
  <c r="K10" i="5" s="1"/>
  <c r="D75" i="1" l="1"/>
  <c r="E22" i="10" s="1"/>
  <c r="D90" i="1"/>
  <c r="E22" i="11" s="1"/>
  <c r="D33" i="1"/>
  <c r="H22" i="6" s="1"/>
  <c r="D115" i="1"/>
  <c r="H22" i="14" s="1"/>
  <c r="D34" i="1"/>
  <c r="I22" i="6" s="1"/>
  <c r="D67" i="1"/>
  <c r="G22" i="9" s="1"/>
  <c r="D81" i="1"/>
  <c r="K22" i="10" s="1"/>
  <c r="D135" i="1"/>
  <c r="H22" i="15" s="1"/>
  <c r="D93" i="1"/>
  <c r="H22" i="11" s="1"/>
  <c r="D73" i="1"/>
  <c r="C22" i="10" s="1"/>
  <c r="D30" i="1"/>
  <c r="E22" i="6" s="1"/>
  <c r="D123" i="1"/>
  <c r="F22" i="13" s="1"/>
  <c r="D54" i="1"/>
  <c r="F22" i="8" s="1"/>
  <c r="D101" i="1"/>
  <c r="D22" i="12" s="1"/>
  <c r="D79" i="1"/>
  <c r="I22" i="10" s="1"/>
  <c r="D57" i="1"/>
  <c r="I22" i="8" s="1"/>
  <c r="D112" i="1"/>
  <c r="E22" i="14" s="1"/>
  <c r="D42" i="1"/>
  <c r="D22" i="7" s="1"/>
  <c r="D32" i="1"/>
  <c r="G22" i="6" s="1"/>
  <c r="D23" i="1"/>
  <c r="J22" i="5" s="1"/>
  <c r="D8" i="1"/>
  <c r="F22" i="4" s="1"/>
  <c r="D36" i="1"/>
  <c r="K22" i="6" s="1"/>
  <c r="D9" i="1"/>
  <c r="G22" i="4" s="1"/>
  <c r="D120" i="1"/>
  <c r="C22" i="13" s="1"/>
  <c r="D94" i="1"/>
  <c r="I22" i="11" s="1"/>
  <c r="D68" i="1"/>
  <c r="H22" i="9" s="1"/>
  <c r="D109" i="1"/>
  <c r="B22" i="14" s="1"/>
  <c r="D53" i="1"/>
  <c r="E22" i="8" s="1"/>
  <c r="D65" i="1"/>
  <c r="E22" i="9" s="1"/>
  <c r="D74" i="1"/>
  <c r="D22" i="10" s="1"/>
  <c r="D124" i="1"/>
  <c r="G22" i="13" s="1"/>
  <c r="D77" i="1"/>
  <c r="G22" i="10" s="1"/>
  <c r="D138" i="1"/>
  <c r="K22" i="15" s="1"/>
  <c r="D100" i="1"/>
  <c r="C22" i="12" s="1"/>
  <c r="D64" i="1"/>
  <c r="D22" i="9" s="1"/>
  <c r="D133" i="1"/>
  <c r="F22" i="15" s="1"/>
  <c r="D134" i="1"/>
  <c r="G22" i="15" s="1"/>
  <c r="D45" i="1"/>
  <c r="G22" i="7" s="1"/>
  <c r="D28" i="1"/>
  <c r="C22" i="6" s="1"/>
  <c r="D52" i="1"/>
  <c r="D22" i="8" s="1"/>
  <c r="D110" i="1"/>
  <c r="C22" i="14" s="1"/>
  <c r="D102" i="1"/>
  <c r="E22" i="12" s="1"/>
  <c r="D6" i="1"/>
  <c r="D22" i="4" s="1"/>
  <c r="D136" i="1"/>
  <c r="I22" i="15" s="1"/>
  <c r="D21" i="1"/>
  <c r="H22" i="5" s="1"/>
  <c r="D113" i="1"/>
  <c r="F22" i="14" s="1"/>
  <c r="D50" i="1"/>
  <c r="B22" i="8" s="1"/>
  <c r="D82" i="1"/>
  <c r="L22" i="10" s="1"/>
  <c r="D10" i="1"/>
  <c r="H22" i="4" s="1"/>
  <c r="D62" i="1"/>
  <c r="B22" i="9" s="1"/>
  <c r="D80" i="1"/>
  <c r="J22" i="10" s="1"/>
  <c r="D122" i="1"/>
  <c r="E22" i="13" s="1"/>
  <c r="D58" i="1"/>
  <c r="J22" i="8" s="1"/>
  <c r="D129" i="1"/>
  <c r="B22" i="15" s="1"/>
  <c r="D44" i="1"/>
  <c r="F22" i="7" s="1"/>
  <c r="D27" i="1"/>
  <c r="B22" i="6" s="1"/>
  <c r="D11" i="1"/>
  <c r="I22" i="4" s="1"/>
  <c r="D88" i="1"/>
  <c r="C22" i="11" s="1"/>
  <c r="D4" i="1"/>
  <c r="B22" i="4" s="1"/>
  <c r="D18" i="1"/>
  <c r="E22" i="5" s="1"/>
  <c r="D16" i="1"/>
  <c r="C22" i="5" s="1"/>
  <c r="D17" i="1"/>
  <c r="D22" i="5" s="1"/>
  <c r="D95" i="1"/>
  <c r="J22" i="11" s="1"/>
  <c r="D87" i="1"/>
  <c r="B22" i="11" s="1"/>
  <c r="D104" i="1"/>
  <c r="G22" i="12" s="1"/>
  <c r="D99" i="1"/>
  <c r="B22" i="12" s="1"/>
  <c r="D5" i="1"/>
  <c r="C22" i="4" s="1"/>
  <c r="D66" i="1"/>
  <c r="F22" i="9" s="1"/>
  <c r="J3" i="18"/>
  <c r="J21" i="18" s="1"/>
  <c r="I21" i="12"/>
  <c r="D3" i="18"/>
  <c r="L21" i="6"/>
  <c r="D119" i="1"/>
  <c r="B22" i="13" s="1"/>
  <c r="D132" i="1"/>
  <c r="E22" i="15" s="1"/>
  <c r="D51" i="1"/>
  <c r="C22" i="8" s="1"/>
  <c r="D89" i="1"/>
  <c r="D22" i="11" s="1"/>
  <c r="D7" i="1"/>
  <c r="E22" i="4" s="1"/>
  <c r="D105" i="1"/>
  <c r="H22" i="12" s="1"/>
  <c r="D19" i="1"/>
  <c r="F22" i="5" s="1"/>
  <c r="D15" i="1"/>
  <c r="B22" i="5" s="1"/>
  <c r="D111" i="1"/>
  <c r="D22" i="14" s="1"/>
  <c r="D125" i="1"/>
  <c r="H22" i="13" s="1"/>
  <c r="D31" i="1"/>
  <c r="F22" i="6" s="1"/>
  <c r="D20" i="1"/>
  <c r="G22" i="5" s="1"/>
  <c r="D41" i="1"/>
  <c r="C22" i="7" s="1"/>
  <c r="D46" i="1"/>
  <c r="H22" i="7" s="1"/>
  <c r="D35" i="1"/>
  <c r="J22" i="6" s="1"/>
  <c r="D72" i="1"/>
  <c r="B22" i="10" s="1"/>
  <c r="D29" i="1"/>
  <c r="D22" i="6" s="1"/>
  <c r="D22" i="1"/>
  <c r="I22" i="5" s="1"/>
  <c r="D63" i="1"/>
  <c r="C22" i="9" s="1"/>
  <c r="D140" i="1"/>
  <c r="M22" i="15" s="1"/>
  <c r="D137" i="1"/>
  <c r="J22" i="15" s="1"/>
  <c r="D91" i="1"/>
  <c r="F22" i="11" s="1"/>
  <c r="I21" i="9"/>
  <c r="I21" i="13"/>
  <c r="K21" i="8"/>
  <c r="N21" i="15"/>
  <c r="N21" i="10"/>
  <c r="J21" i="4"/>
  <c r="I21" i="14"/>
  <c r="D114" i="1"/>
  <c r="G22" i="14" s="1"/>
  <c r="D83" i="1"/>
  <c r="M22" i="10" s="1"/>
  <c r="D78" i="1"/>
  <c r="H22" i="10" s="1"/>
  <c r="D55" i="1"/>
  <c r="G22" i="8" s="1"/>
  <c r="D131" i="1"/>
  <c r="D22" i="15" s="1"/>
  <c r="D139" i="1"/>
  <c r="L22" i="15" s="1"/>
  <c r="I3" i="18"/>
  <c r="K21" i="11"/>
  <c r="E14" i="18"/>
  <c r="C14" i="18"/>
  <c r="C21" i="18" s="1"/>
  <c r="K21" i="5"/>
  <c r="D76" i="1"/>
  <c r="F22" i="10" s="1"/>
  <c r="D40" i="1"/>
  <c r="B22" i="7" s="1"/>
  <c r="D43" i="1"/>
  <c r="E22" i="7" s="1"/>
  <c r="D103" i="1"/>
  <c r="F22" i="12" s="1"/>
  <c r="D92" i="1"/>
  <c r="G22" i="11" s="1"/>
  <c r="D121" i="1"/>
  <c r="D22" i="13" s="1"/>
  <c r="D130" i="1"/>
  <c r="C22" i="15" s="1"/>
  <c r="G6" i="16"/>
  <c r="G6" i="17" s="1"/>
  <c r="D56" i="1"/>
  <c r="H22" i="8" s="1"/>
  <c r="G14" i="16"/>
  <c r="G14" i="17" s="1"/>
  <c r="G10" i="16"/>
  <c r="G10" i="17" s="1"/>
  <c r="D78" i="16"/>
  <c r="D14" i="18"/>
  <c r="G14" i="18"/>
  <c r="G21" i="18" s="1"/>
  <c r="B14" i="18"/>
  <c r="B21" i="18" s="1"/>
  <c r="F14" i="18"/>
  <c r="F21" i="18" s="1"/>
  <c r="C10" i="18"/>
  <c r="K14" i="18"/>
  <c r="K21" i="18" s="1"/>
  <c r="L14" i="18"/>
  <c r="L21" i="18" s="1"/>
  <c r="J14" i="18"/>
  <c r="B24" i="1"/>
  <c r="M14" i="18"/>
  <c r="M21" i="18" s="1"/>
  <c r="H14" i="18"/>
  <c r="H21" i="18" s="1"/>
  <c r="I14" i="18"/>
  <c r="C21" i="5"/>
  <c r="E10" i="7"/>
  <c r="I10" i="7" s="1"/>
  <c r="I21" i="7" s="1"/>
  <c r="D21" i="18" l="1"/>
  <c r="I21" i="18"/>
  <c r="J28" i="18"/>
  <c r="J26" i="18"/>
  <c r="D26" i="16"/>
  <c r="E2" i="16" s="1"/>
  <c r="B47" i="1"/>
  <c r="E10" i="18"/>
  <c r="E21" i="18" s="1"/>
  <c r="E21" i="7"/>
  <c r="J24" i="18" l="1"/>
  <c r="L22" i="18"/>
  <c r="D126" i="1" s="1"/>
  <c r="M22" i="18"/>
  <c r="D141" i="1" s="1"/>
  <c r="C22" i="18"/>
  <c r="D24" i="1" s="1"/>
  <c r="E22" i="18"/>
  <c r="D47" i="1" s="1"/>
  <c r="H22" i="18"/>
  <c r="D84" i="1" s="1"/>
  <c r="J22" i="18"/>
  <c r="D106" i="1" s="1"/>
  <c r="G22" i="18"/>
  <c r="D69" i="1" s="1"/>
  <c r="K22" i="18"/>
  <c r="D116" i="1" s="1"/>
  <c r="B22" i="18"/>
  <c r="D12" i="1" s="1"/>
  <c r="D22" i="18"/>
  <c r="D37" i="1" s="1"/>
  <c r="F22" i="18"/>
  <c r="D59" i="1" s="1"/>
  <c r="I22" i="18"/>
  <c r="D96" i="1" s="1"/>
  <c r="E58" i="16"/>
  <c r="E3" i="16"/>
  <c r="E70" i="16"/>
  <c r="E74" i="16"/>
  <c r="E99" i="16"/>
  <c r="E38" i="16"/>
  <c r="E64" i="16"/>
  <c r="E66" i="16"/>
  <c r="E63" i="16"/>
  <c r="E24" i="16"/>
  <c r="E88" i="16"/>
  <c r="E65" i="16"/>
  <c r="E32" i="16"/>
  <c r="E28" i="16"/>
  <c r="E8" i="16"/>
  <c r="E22" i="16"/>
  <c r="E40" i="16"/>
  <c r="E41" i="16"/>
  <c r="E103" i="16"/>
  <c r="E72" i="16"/>
  <c r="E7" i="16"/>
  <c r="E100" i="16"/>
  <c r="E90" i="16"/>
  <c r="E43" i="16"/>
  <c r="E39" i="16"/>
  <c r="E96" i="16"/>
  <c r="E36" i="16"/>
  <c r="E52" i="16"/>
  <c r="E50" i="16"/>
  <c r="E94" i="16"/>
  <c r="E73" i="16"/>
  <c r="E77" i="16"/>
  <c r="E25" i="16"/>
  <c r="E79" i="16"/>
  <c r="E13" i="16"/>
  <c r="E53" i="16"/>
  <c r="E69" i="16"/>
  <c r="E86" i="16"/>
  <c r="E30" i="16"/>
  <c r="E101" i="16"/>
  <c r="E102" i="16"/>
  <c r="E51" i="16"/>
  <c r="E84" i="16"/>
  <c r="E1" i="16"/>
  <c r="E83" i="16"/>
  <c r="E15" i="16"/>
  <c r="E54" i="16"/>
  <c r="E33" i="16"/>
  <c r="E37" i="16"/>
  <c r="E9" i="16"/>
  <c r="E75" i="16"/>
  <c r="E42" i="16"/>
  <c r="E71" i="16"/>
  <c r="E95" i="16"/>
  <c r="E21" i="16"/>
  <c r="E19" i="16"/>
  <c r="E18" i="16"/>
  <c r="E62" i="16"/>
  <c r="E45" i="16"/>
  <c r="E76" i="16"/>
  <c r="E57" i="16"/>
  <c r="E92" i="16"/>
  <c r="E14" i="16"/>
  <c r="E78" i="16"/>
  <c r="E23" i="16"/>
  <c r="E82" i="16"/>
  <c r="E6" i="16"/>
  <c r="E85" i="16"/>
  <c r="E26" i="16"/>
  <c r="E67" i="16"/>
  <c r="E47" i="16"/>
  <c r="E89" i="16"/>
  <c r="E29" i="16"/>
  <c r="E60" i="16"/>
  <c r="E49" i="16"/>
  <c r="E56" i="16"/>
  <c r="E55" i="16"/>
  <c r="E93" i="16"/>
  <c r="E17" i="16"/>
  <c r="E68" i="16"/>
  <c r="E81" i="16"/>
  <c r="E98" i="16"/>
  <c r="E44" i="16"/>
  <c r="E12" i="16"/>
  <c r="E27" i="16"/>
  <c r="E91" i="16"/>
  <c r="E97" i="16"/>
  <c r="E80" i="16"/>
  <c r="E4" i="16"/>
  <c r="E48" i="16"/>
  <c r="E11" i="16"/>
  <c r="E34" i="16"/>
  <c r="E59" i="16"/>
  <c r="E20" i="16"/>
  <c r="E16" i="16"/>
  <c r="E5" i="16"/>
  <c r="E10" i="16"/>
  <c r="E35" i="16"/>
  <c r="E31" i="16"/>
  <c r="E46" i="16"/>
  <c r="E87" i="16"/>
  <c r="E104" i="16"/>
  <c r="E61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<sst xmlns="http://schemas.openxmlformats.org/spreadsheetml/2006/main" count="2133" uniqueCount="868">
  <si>
    <t xml:space="preserve"> </t>
  </si>
  <si>
    <t>Total</t>
  </si>
  <si>
    <t>North East FC 2568</t>
  </si>
  <si>
    <t>Meadville FC 2505</t>
  </si>
  <si>
    <t>Union City 882</t>
  </si>
  <si>
    <t>East Erie FC 593</t>
  </si>
  <si>
    <t>Albion FC 381</t>
  </si>
  <si>
    <t>Greenville FC 276</t>
  </si>
  <si>
    <t>Warren FC 109</t>
  </si>
  <si>
    <t>Corry FC 98</t>
  </si>
  <si>
    <t>Titusville FC 84</t>
  </si>
  <si>
    <t>Franklin FC 83</t>
  </si>
  <si>
    <t>Oil City FC 78</t>
  </si>
  <si>
    <t>Erie 66</t>
  </si>
  <si>
    <t>District 15</t>
  </si>
  <si>
    <t>Chicora FC 962</t>
  </si>
  <si>
    <t>New Bethlehem 366</t>
  </si>
  <si>
    <t>Kittanning 137</t>
  </si>
  <si>
    <t>Clarion FC 101</t>
  </si>
  <si>
    <t>Ellwood City FC 93</t>
  </si>
  <si>
    <t>Butler FC 64</t>
  </si>
  <si>
    <t>New Castle FC 51</t>
  </si>
  <si>
    <t>District 14</t>
  </si>
  <si>
    <t>Punxsutawney 954</t>
  </si>
  <si>
    <t>Dixonville FC 833</t>
  </si>
  <si>
    <t>Nanty Glo 207</t>
  </si>
  <si>
    <t>Indiana FC 174</t>
  </si>
  <si>
    <t>Leechburg FC 102</t>
  </si>
  <si>
    <t>New Kensington 53</t>
  </si>
  <si>
    <t>Avonmore 37</t>
  </si>
  <si>
    <t>District 13</t>
  </si>
  <si>
    <t>Hays 1436</t>
  </si>
  <si>
    <t>Beechview 609</t>
  </si>
  <si>
    <t>Universal 298</t>
  </si>
  <si>
    <t>Verona 250</t>
  </si>
  <si>
    <t>Irwin FC 236</t>
  </si>
  <si>
    <t>Export 234</t>
  </si>
  <si>
    <t>Wilmerding FC 86</t>
  </si>
  <si>
    <t>District 12</t>
  </si>
  <si>
    <t>Cokesburg 1625</t>
  </si>
  <si>
    <t>Sutersville FC 1358</t>
  </si>
  <si>
    <t>Waynesburg FC 461</t>
  </si>
  <si>
    <t>Belle Vernon 209</t>
  </si>
  <si>
    <t>Scottsdale 194</t>
  </si>
  <si>
    <t>Finleyville 172</t>
  </si>
  <si>
    <t>West Newton 31</t>
  </si>
  <si>
    <t>Uniontown 20</t>
  </si>
  <si>
    <t>Connellsville FC 16</t>
  </si>
  <si>
    <t>District 11</t>
  </si>
  <si>
    <t>Clarence 1565</t>
  </si>
  <si>
    <t>Ridgeway FC 1183</t>
  </si>
  <si>
    <t>Madera 1172</t>
  </si>
  <si>
    <t>Grassflat 941</t>
  </si>
  <si>
    <t>Port Allegany FC 460</t>
  </si>
  <si>
    <t>Coalport 350</t>
  </si>
  <si>
    <t>Houtzdale 327</t>
  </si>
  <si>
    <t>Curwensville FC 268</t>
  </si>
  <si>
    <t>Bellefonte FC 206</t>
  </si>
  <si>
    <t>Osceola Mills 154</t>
  </si>
  <si>
    <t>St. Marys FC 146</t>
  </si>
  <si>
    <t>Clearfield 97</t>
  </si>
  <si>
    <t>District 9</t>
  </si>
  <si>
    <t>Wellsboro FC 1147</t>
  </si>
  <si>
    <t>Galeton FC 826</t>
  </si>
  <si>
    <t>Elkland FC 746</t>
  </si>
  <si>
    <t>Canton FC 429</t>
  </si>
  <si>
    <t>Jersey Shore FC 214</t>
  </si>
  <si>
    <t>Williamsport FC 145</t>
  </si>
  <si>
    <t>Lock Haven FC 100</t>
  </si>
  <si>
    <t>District 7</t>
  </si>
  <si>
    <t>Shippensburg 2500</t>
  </si>
  <si>
    <t>Mercersburg 1790</t>
  </si>
  <si>
    <t>Gettysburg FC 1526</t>
  </si>
  <si>
    <t>Waynesboro 1191</t>
  </si>
  <si>
    <t>Millerstown FC 925</t>
  </si>
  <si>
    <t>Carlisle FC 761</t>
  </si>
  <si>
    <t>McSherrystown FC 720</t>
  </si>
  <si>
    <t>Hanover FC 227</t>
  </si>
  <si>
    <t>Marysville 107</t>
  </si>
  <si>
    <t>District 6</t>
  </si>
  <si>
    <t>Tower City FC 1603</t>
  </si>
  <si>
    <t>Elizabethtown FC 596</t>
  </si>
  <si>
    <t>Hamburg FC 523</t>
  </si>
  <si>
    <t>Middletown FC 410</t>
  </si>
  <si>
    <t>Chickies Rock FC 307</t>
  </si>
  <si>
    <t>Lancaster FC 299</t>
  </si>
  <si>
    <t>Millersburg FC 59</t>
  </si>
  <si>
    <t>District 5</t>
  </si>
  <si>
    <t>Stroudsburg FC 1336</t>
  </si>
  <si>
    <t>Tunkhannock 1276</t>
  </si>
  <si>
    <t>Middleburg FC 1229</t>
  </si>
  <si>
    <t>Pittston 1207</t>
  </si>
  <si>
    <t>Selinsgrove FC 1173</t>
  </si>
  <si>
    <t>Danville FC 1133</t>
  </si>
  <si>
    <t>Muncy Valley FC 866</t>
  </si>
  <si>
    <t>Susquehanna 794</t>
  </si>
  <si>
    <t>Sunbury 181</t>
  </si>
  <si>
    <t>Milton FC 171</t>
  </si>
  <si>
    <t>District 4</t>
  </si>
  <si>
    <t>Ebensburg FC 681</t>
  </si>
  <si>
    <t>Patton 488</t>
  </si>
  <si>
    <t>Bedford FC 480</t>
  </si>
  <si>
    <t>Huntingdon FC 223</t>
  </si>
  <si>
    <t>Gallitzin FC 185</t>
  </si>
  <si>
    <t>Portage FC 131</t>
  </si>
  <si>
    <t>Meyersdale FC 76</t>
  </si>
  <si>
    <t>Altoona FC 74</t>
  </si>
  <si>
    <t>District 3</t>
  </si>
  <si>
    <t>Media 2189</t>
  </si>
  <si>
    <t>Sellersville FC 1539</t>
  </si>
  <si>
    <t>Slatington FC 1375</t>
  </si>
  <si>
    <t>Bucks FC 1169</t>
  </si>
  <si>
    <t>Downingtown 1153</t>
  </si>
  <si>
    <t>Willow Grove 1101</t>
  </si>
  <si>
    <t>West Chester 908</t>
  </si>
  <si>
    <t>Coatesville FC 297</t>
  </si>
  <si>
    <t>District 1</t>
  </si>
  <si>
    <t>Delegates roll call</t>
  </si>
  <si>
    <t>President roll call</t>
  </si>
  <si>
    <t>Admin. roll call</t>
  </si>
  <si>
    <t>Yes/No  Att/KT</t>
  </si>
  <si>
    <t>Delegate</t>
  </si>
  <si>
    <t>Pres</t>
  </si>
  <si>
    <t>Admin</t>
  </si>
  <si>
    <t>DP Lodge Visits</t>
  </si>
  <si>
    <t>Secretary Report</t>
  </si>
  <si>
    <t>DP Report</t>
  </si>
  <si>
    <t xml:space="preserve"># of Delegates </t>
  </si>
  <si>
    <t>$ per member</t>
  </si>
  <si>
    <t>Balance</t>
  </si>
  <si>
    <t>% of Commitment</t>
  </si>
  <si>
    <t>Contribution</t>
  </si>
  <si>
    <t>+/- Donation</t>
  </si>
  <si>
    <t>Retention %</t>
  </si>
  <si>
    <t xml:space="preserve"> plus / minus</t>
  </si>
  <si>
    <t>Points</t>
  </si>
  <si>
    <t>PMA AR Balance</t>
  </si>
  <si>
    <t>District Meetings Attendance</t>
  </si>
  <si>
    <t>Membership Booster Fund</t>
  </si>
  <si>
    <t>Dress For Success</t>
  </si>
  <si>
    <t xml:space="preserve">Per Member  </t>
  </si>
  <si>
    <r>
      <t>Moose Charities-</t>
    </r>
    <r>
      <rPr>
        <u/>
        <sz val="9"/>
        <color theme="1"/>
        <rFont val="Arial Black"/>
        <family val="2"/>
      </rPr>
      <t>Endowment</t>
    </r>
  </si>
  <si>
    <t>Membership Goal of +1</t>
  </si>
  <si>
    <t>Ranking in PMA</t>
  </si>
  <si>
    <t>Ranking in District</t>
  </si>
  <si>
    <t>Lodge Points</t>
  </si>
  <si>
    <t>Legends</t>
  </si>
  <si>
    <r>
      <rPr>
        <sz val="9"/>
        <color rgb="FFFF0000"/>
        <rFont val="Arial Black"/>
        <family val="2"/>
      </rPr>
      <t xml:space="preserve">Membership   </t>
    </r>
    <r>
      <rPr>
        <sz val="9"/>
        <color theme="1"/>
        <rFont val="Arial Black"/>
        <family val="2"/>
      </rPr>
      <t xml:space="preserve"> </t>
    </r>
  </si>
  <si>
    <r>
      <rPr>
        <sz val="9"/>
        <color rgb="FFFF0000"/>
        <rFont val="Arial Black"/>
        <family val="2"/>
      </rPr>
      <t xml:space="preserve">Retention % </t>
    </r>
    <r>
      <rPr>
        <sz val="9"/>
        <color theme="1"/>
        <rFont val="Arial Black"/>
        <family val="2"/>
      </rPr>
      <t xml:space="preserve">  </t>
    </r>
    <r>
      <rPr>
        <sz val="9"/>
        <color rgb="FFFF0000"/>
        <rFont val="Arial Black"/>
        <family val="2"/>
      </rPr>
      <t xml:space="preserve">  </t>
    </r>
  </si>
  <si>
    <t xml:space="preserve">PMA AR Balance  </t>
  </si>
  <si>
    <t xml:space="preserve">Moose Charities Endowment </t>
  </si>
  <si>
    <t xml:space="preserve">Per Member Contribution </t>
  </si>
  <si>
    <t>&gt; + 20</t>
  </si>
  <si>
    <t>91% to 100%</t>
  </si>
  <si>
    <t>No Balance</t>
  </si>
  <si>
    <t>116% to 120%</t>
  </si>
  <si>
    <t>&gt;$10.00 per member</t>
  </si>
  <si>
    <t>+11 to +20</t>
  </si>
  <si>
    <t>86% to 90%</t>
  </si>
  <si>
    <t>111% to 115%</t>
  </si>
  <si>
    <t>$8.01 to $10/member</t>
  </si>
  <si>
    <t>+2 to +10</t>
  </si>
  <si>
    <t>81% to 85%</t>
  </si>
  <si>
    <t>101% to 110%</t>
  </si>
  <si>
    <t>$6.01 to $8/member</t>
  </si>
  <si>
    <t>+1</t>
  </si>
  <si>
    <t>80%</t>
  </si>
  <si>
    <t>+ $1.00</t>
  </si>
  <si>
    <t>$4.01 to $6/member</t>
  </si>
  <si>
    <t>0 to -5</t>
  </si>
  <si>
    <t>75% to 79%</t>
  </si>
  <si>
    <t>90% to 100%</t>
  </si>
  <si>
    <t>$4.00 per member</t>
  </si>
  <si>
    <t>-6 to -10</t>
  </si>
  <si>
    <t>71% to 74%</t>
  </si>
  <si>
    <t>Paid on Balance</t>
  </si>
  <si>
    <t>76% to 90%</t>
  </si>
  <si>
    <t>$3.01 to $3.99/member</t>
  </si>
  <si>
    <t>-11 to -15</t>
  </si>
  <si>
    <t>65% to 70%</t>
  </si>
  <si>
    <t>61% to 75%</t>
  </si>
  <si>
    <t>$2.01 to $3/member</t>
  </si>
  <si>
    <t>-16 to -20</t>
  </si>
  <si>
    <t>61% to 64%</t>
  </si>
  <si>
    <t>46% to 60%</t>
  </si>
  <si>
    <t>$1.51 to $2/member</t>
  </si>
  <si>
    <t>-21 to -25</t>
  </si>
  <si>
    <t>55% to 60%</t>
  </si>
  <si>
    <t>31% to 45%</t>
  </si>
  <si>
    <t>$1.01 to $1.50/member</t>
  </si>
  <si>
    <t>-26 to -30</t>
  </si>
  <si>
    <t>51% to 54%</t>
  </si>
  <si>
    <t>16% to 30%</t>
  </si>
  <si>
    <t>$.51 to $1/member</t>
  </si>
  <si>
    <t>-31 to -35</t>
  </si>
  <si>
    <t>45% to 50%</t>
  </si>
  <si>
    <t>1% to 15%</t>
  </si>
  <si>
    <t>$.01 to $.50/member</t>
  </si>
  <si>
    <t>&lt; 45%</t>
  </si>
  <si>
    <t xml:space="preserve"> Balance</t>
  </si>
  <si>
    <t xml:space="preserve"> 0%</t>
  </si>
  <si>
    <t>$0.00/member</t>
  </si>
  <si>
    <t>Capital Project % of Commitment</t>
  </si>
  <si>
    <t>Scholarship</t>
  </si>
  <si>
    <t>Membership Booster</t>
  </si>
  <si>
    <t>Heart of the Community Report</t>
  </si>
  <si>
    <t>&gt;120%</t>
  </si>
  <si>
    <t>.26 to .30</t>
  </si>
  <si>
    <t>&gt;$600</t>
  </si>
  <si>
    <t>SUPERIOR</t>
  </si>
  <si>
    <t>111% to 120%</t>
  </si>
  <si>
    <t>.21 to .25</t>
  </si>
  <si>
    <t>$551 - $600</t>
  </si>
  <si>
    <t>.16 to .20</t>
  </si>
  <si>
    <t>$501-$550</t>
  </si>
  <si>
    <t>EXCELLENT</t>
  </si>
  <si>
    <t>86% to 99%</t>
  </si>
  <si>
    <t>$326 to $499</t>
  </si>
  <si>
    <t>GOOD</t>
  </si>
  <si>
    <t>73% to 85%</t>
  </si>
  <si>
    <t>$251 to $325</t>
  </si>
  <si>
    <t>66% to72%</t>
  </si>
  <si>
    <t>.11 to .12</t>
  </si>
  <si>
    <t>$201 to $250</t>
  </si>
  <si>
    <t>LATE</t>
  </si>
  <si>
    <t>56% to 65%</t>
  </si>
  <si>
    <t>.09 to .10</t>
  </si>
  <si>
    <t>$151 to $200</t>
  </si>
  <si>
    <t>46% to 55%</t>
  </si>
  <si>
    <t>.07 to .08</t>
  </si>
  <si>
    <t>$101 to $150</t>
  </si>
  <si>
    <t>NO GRADE</t>
  </si>
  <si>
    <t>36% to 45%</t>
  </si>
  <si>
    <t>.04 to .06</t>
  </si>
  <si>
    <t>$76 to $100</t>
  </si>
  <si>
    <t>NO ACTIVITY</t>
  </si>
  <si>
    <t>21% to 35%</t>
  </si>
  <si>
    <t>01. to .03</t>
  </si>
  <si>
    <t>$1 to $75</t>
  </si>
  <si>
    <t xml:space="preserve"> 0% to20%</t>
  </si>
  <si>
    <t>NO REPORT</t>
  </si>
  <si>
    <r>
      <rPr>
        <sz val="9"/>
        <color rgb="FFFF0000"/>
        <rFont val="Arial Black"/>
        <family val="2"/>
      </rPr>
      <t>International Convention Attendance</t>
    </r>
    <r>
      <rPr>
        <sz val="9"/>
        <color theme="1"/>
        <rFont val="Arial Black"/>
        <family val="2"/>
      </rPr>
      <t xml:space="preserve">  </t>
    </r>
  </si>
  <si>
    <t>1 Point per District President's report</t>
  </si>
  <si>
    <t>&gt;6 Delegates</t>
  </si>
  <si>
    <t>1 point per District Secretary's report</t>
  </si>
  <si>
    <t>4-6 Delegates</t>
  </si>
  <si>
    <t>1 Point per Lodge Visitation report</t>
  </si>
  <si>
    <t>2-3 Delegates</t>
  </si>
  <si>
    <t>1 Delegate</t>
  </si>
  <si>
    <t>Youth Awareness</t>
  </si>
  <si>
    <t xml:space="preserve">Lodge 2 students complete kids' talks </t>
  </si>
  <si>
    <t>Lodge had one student complete kids' talks</t>
  </si>
  <si>
    <t>No Rep.</t>
  </si>
  <si>
    <t>Lodge had more than one student participate</t>
  </si>
  <si>
    <t>Lodge had one student participate</t>
  </si>
  <si>
    <t>&gt;$125</t>
  </si>
  <si>
    <t>8 (100%)</t>
  </si>
  <si>
    <t>$116 to $125</t>
  </si>
  <si>
    <t>$101 to $115</t>
  </si>
  <si>
    <t>Lodge did not participate</t>
  </si>
  <si>
    <t>$856 to $99</t>
  </si>
  <si>
    <t>$71 to $85</t>
  </si>
  <si>
    <t>$61 to $70</t>
  </si>
  <si>
    <t>$51 to $60</t>
  </si>
  <si>
    <t>$41 to $50</t>
  </si>
  <si>
    <t>$26 to $40</t>
  </si>
  <si>
    <t>$1 to $25</t>
  </si>
  <si>
    <t>Lodge</t>
  </si>
  <si>
    <t>Category</t>
  </si>
  <si>
    <t>Membership</t>
  </si>
  <si>
    <t>Endowment</t>
  </si>
  <si>
    <t>Per Member Contribution</t>
  </si>
  <si>
    <t>PMA Capital Project</t>
  </si>
  <si>
    <t>Heart of the Community</t>
  </si>
  <si>
    <t>Fraternal Education</t>
  </si>
  <si>
    <t>International Convention</t>
  </si>
  <si>
    <t>Membership Boosters</t>
  </si>
  <si>
    <t>District Monthly Reports</t>
  </si>
  <si>
    <t>Dist Meeting Attendance</t>
  </si>
  <si>
    <t>PMA State Convention</t>
  </si>
  <si>
    <t>PMA Mid Year Conference</t>
  </si>
  <si>
    <t>Totals</t>
  </si>
  <si>
    <t>PMA Rank</t>
  </si>
  <si>
    <t>Dixonville 833</t>
  </si>
  <si>
    <t>Windber FC 349</t>
  </si>
  <si>
    <t>Muncy Valley Fc 866</t>
  </si>
  <si>
    <t>Coatesville FC 279</t>
  </si>
  <si>
    <t>District</t>
  </si>
  <si>
    <t>Green Zone = 75% or above of top score</t>
  </si>
  <si>
    <t>Schlarship</t>
  </si>
  <si>
    <t>&gt; -35</t>
  </si>
  <si>
    <t>Amount assessed</t>
  </si>
  <si>
    <t>Points this quarter</t>
  </si>
  <si>
    <t>Yellow Zone = 70% to 75% of top score</t>
  </si>
  <si>
    <t>Red Zone = less than 70% of top score</t>
  </si>
  <si>
    <t>Albion</t>
  </si>
  <si>
    <t>Avonmore</t>
  </si>
  <si>
    <t>Bedford</t>
  </si>
  <si>
    <t>Beechview</t>
  </si>
  <si>
    <t>Belle Vernon</t>
  </si>
  <si>
    <t>Bellefonte</t>
  </si>
  <si>
    <t>Canton</t>
  </si>
  <si>
    <t>Carlisle</t>
  </si>
  <si>
    <t>Chickies Rock</t>
  </si>
  <si>
    <t>Chicora</t>
  </si>
  <si>
    <t>Clarence</t>
  </si>
  <si>
    <t>Clarion</t>
  </si>
  <si>
    <t>Coatesville</t>
  </si>
  <si>
    <t>Connellsville</t>
  </si>
  <si>
    <t>Corry</t>
  </si>
  <si>
    <t>Danville</t>
  </si>
  <si>
    <t>Dixonville</t>
  </si>
  <si>
    <t>Downingtown</t>
  </si>
  <si>
    <t>East Erie</t>
  </si>
  <si>
    <t>Elizabethtown</t>
  </si>
  <si>
    <t>Elkland</t>
  </si>
  <si>
    <t>Finleyville</t>
  </si>
  <si>
    <t>Franklin</t>
  </si>
  <si>
    <t>Galeton</t>
  </si>
  <si>
    <t>Gallitzin</t>
  </si>
  <si>
    <t>Gettysburg</t>
  </si>
  <si>
    <t>Grassflat</t>
  </si>
  <si>
    <t>Hamburg</t>
  </si>
  <si>
    <t>Hanover</t>
  </si>
  <si>
    <t>Hays</t>
  </si>
  <si>
    <t>Houtzdale</t>
  </si>
  <si>
    <t>Huntingdon</t>
  </si>
  <si>
    <t>Irwin</t>
  </si>
  <si>
    <t>Jersey Shore</t>
  </si>
  <si>
    <t>Kittanning</t>
  </si>
  <si>
    <t>Lancaster</t>
  </si>
  <si>
    <t>Leechburg</t>
  </si>
  <si>
    <t>McSherrystown</t>
  </si>
  <si>
    <t>Meadville</t>
  </si>
  <si>
    <t>Meyersdale</t>
  </si>
  <si>
    <t>Middleburg</t>
  </si>
  <si>
    <t>Middletown</t>
  </si>
  <si>
    <t>Millersburg</t>
  </si>
  <si>
    <t>Millerstown</t>
  </si>
  <si>
    <t>Milton</t>
  </si>
  <si>
    <t>Muncy Valley</t>
  </si>
  <si>
    <t>Nanty Glo</t>
  </si>
  <si>
    <t>New Bethlehem</t>
  </si>
  <si>
    <t>New Castle</t>
  </si>
  <si>
    <t>New Kensington</t>
  </si>
  <si>
    <t>Oil City</t>
  </si>
  <si>
    <t>Pittston</t>
  </si>
  <si>
    <t>Port Allegany</t>
  </si>
  <si>
    <t>Portage</t>
  </si>
  <si>
    <t>Ridgway</t>
  </si>
  <si>
    <t>Scottdale</t>
  </si>
  <si>
    <t>Selinsgrove</t>
  </si>
  <si>
    <t>Sellersville</t>
  </si>
  <si>
    <t>Shippensburg</t>
  </si>
  <si>
    <t>Slatington</t>
  </si>
  <si>
    <t>Stroudsburg</t>
  </si>
  <si>
    <t>Sunbury</t>
  </si>
  <si>
    <t>Sutersville</t>
  </si>
  <si>
    <t>Titusville</t>
  </si>
  <si>
    <t>Tower City</t>
  </si>
  <si>
    <t>Tunkhannock</t>
  </si>
  <si>
    <t>Uniontown</t>
  </si>
  <si>
    <t>Universal</t>
  </si>
  <si>
    <t>Verona</t>
  </si>
  <si>
    <t>Warren</t>
  </si>
  <si>
    <t>Waynesburg</t>
  </si>
  <si>
    <t>Waynesboro</t>
  </si>
  <si>
    <t>Wellsboro</t>
  </si>
  <si>
    <t>Williamsport</t>
  </si>
  <si>
    <t>Windber</t>
  </si>
  <si>
    <t>Ridgway FC 1183</t>
  </si>
  <si>
    <t>Scottdale 194</t>
  </si>
  <si>
    <t>16</t>
  </si>
  <si>
    <t>20</t>
  </si>
  <si>
    <t>31</t>
  </si>
  <si>
    <t>West Newton</t>
  </si>
  <si>
    <t>37</t>
  </si>
  <si>
    <t>51</t>
  </si>
  <si>
    <t>53</t>
  </si>
  <si>
    <t>681</t>
  </si>
  <si>
    <t>59</t>
  </si>
  <si>
    <t>381</t>
  </si>
  <si>
    <t>64</t>
  </si>
  <si>
    <t>Butler</t>
  </si>
  <si>
    <t>66</t>
  </si>
  <si>
    <t>Erie</t>
  </si>
  <si>
    <t>74</t>
  </si>
  <si>
    <t>Altoona</t>
  </si>
  <si>
    <t>76</t>
  </si>
  <si>
    <t>146</t>
  </si>
  <si>
    <t>78</t>
  </si>
  <si>
    <t>83</t>
  </si>
  <si>
    <t>84</t>
  </si>
  <si>
    <t>86</t>
  </si>
  <si>
    <t>Wilmerding</t>
  </si>
  <si>
    <t>171</t>
  </si>
  <si>
    <t>93</t>
  </si>
  <si>
    <t>Ellwood City</t>
  </si>
  <si>
    <t>97</t>
  </si>
  <si>
    <t>Clearfield</t>
  </si>
  <si>
    <t>98</t>
  </si>
  <si>
    <t>100</t>
  </si>
  <si>
    <t>Lock Haven</t>
  </si>
  <si>
    <t>101</t>
  </si>
  <si>
    <t>102</t>
  </si>
  <si>
    <t>107</t>
  </si>
  <si>
    <t>Marysville</t>
  </si>
  <si>
    <t>109</t>
  </si>
  <si>
    <t>131</t>
  </si>
  <si>
    <t>137</t>
  </si>
  <si>
    <t>145</t>
  </si>
  <si>
    <t>St Marys</t>
  </si>
  <si>
    <t>154</t>
  </si>
  <si>
    <t>Osceola Mills</t>
  </si>
  <si>
    <t>172</t>
  </si>
  <si>
    <t>174</t>
  </si>
  <si>
    <t>Indiana</t>
  </si>
  <si>
    <t>181</t>
  </si>
  <si>
    <t>276</t>
  </si>
  <si>
    <t>185</t>
  </si>
  <si>
    <t>488</t>
  </si>
  <si>
    <t>194</t>
  </si>
  <si>
    <t>206</t>
  </si>
  <si>
    <t>207</t>
  </si>
  <si>
    <t>209</t>
  </si>
  <si>
    <t>214</t>
  </si>
  <si>
    <t>223</t>
  </si>
  <si>
    <t>227</t>
  </si>
  <si>
    <t>234</t>
  </si>
  <si>
    <t>Export</t>
  </si>
  <si>
    <t>236</t>
  </si>
  <si>
    <t>250</t>
  </si>
  <si>
    <t>268</t>
  </si>
  <si>
    <t>Curwensville</t>
  </si>
  <si>
    <t>Greenville</t>
  </si>
  <si>
    <t>297</t>
  </si>
  <si>
    <t>298</t>
  </si>
  <si>
    <t>299</t>
  </si>
  <si>
    <t>307</t>
  </si>
  <si>
    <t>327</t>
  </si>
  <si>
    <t>349</t>
  </si>
  <si>
    <t>1153</t>
  </si>
  <si>
    <t>350</t>
  </si>
  <si>
    <t>Coalport</t>
  </si>
  <si>
    <t>366</t>
  </si>
  <si>
    <t>410</t>
  </si>
  <si>
    <t>429</t>
  </si>
  <si>
    <t>460</t>
  </si>
  <si>
    <t>461</t>
  </si>
  <si>
    <t>480</t>
  </si>
  <si>
    <t>Patton</t>
  </si>
  <si>
    <t>523</t>
  </si>
  <si>
    <t>593</t>
  </si>
  <si>
    <t>596</t>
  </si>
  <si>
    <t>609</t>
  </si>
  <si>
    <t>Ebensburg</t>
  </si>
  <si>
    <t>720</t>
  </si>
  <si>
    <t>746</t>
  </si>
  <si>
    <t>761</t>
  </si>
  <si>
    <t>794</t>
  </si>
  <si>
    <t>Susquehanna</t>
  </si>
  <si>
    <t>826</t>
  </si>
  <si>
    <t>833</t>
  </si>
  <si>
    <t>866</t>
  </si>
  <si>
    <t>882</t>
  </si>
  <si>
    <t>Union City</t>
  </si>
  <si>
    <t>908</t>
  </si>
  <si>
    <t>West Chester</t>
  </si>
  <si>
    <t>925</t>
  </si>
  <si>
    <t>941</t>
  </si>
  <si>
    <t>954</t>
  </si>
  <si>
    <t>Punxsutawney</t>
  </si>
  <si>
    <t>962</t>
  </si>
  <si>
    <t>1101</t>
  </si>
  <si>
    <t>Willow Grove</t>
  </si>
  <si>
    <t>1133</t>
  </si>
  <si>
    <t>1147</t>
  </si>
  <si>
    <t>1169</t>
  </si>
  <si>
    <t>Bucks</t>
  </si>
  <si>
    <t>1172</t>
  </si>
  <si>
    <t>Madera</t>
  </si>
  <si>
    <t>1173</t>
  </si>
  <si>
    <t>1183</t>
  </si>
  <si>
    <t>1191</t>
  </si>
  <si>
    <t>1207</t>
  </si>
  <si>
    <t>1229</t>
  </si>
  <si>
    <t>1276</t>
  </si>
  <si>
    <t>1336</t>
  </si>
  <si>
    <t>1358</t>
  </si>
  <si>
    <t>1375</t>
  </si>
  <si>
    <t>1436</t>
  </si>
  <si>
    <t>1526</t>
  </si>
  <si>
    <t>1539</t>
  </si>
  <si>
    <t>1565</t>
  </si>
  <si>
    <t>1603</t>
  </si>
  <si>
    <t>1625</t>
  </si>
  <si>
    <t>Cokeburg</t>
  </si>
  <si>
    <t>1790</t>
  </si>
  <si>
    <t>Mercersburg</t>
  </si>
  <si>
    <t>2189</t>
  </si>
  <si>
    <t>Media</t>
  </si>
  <si>
    <t>2500</t>
  </si>
  <si>
    <t>2505</t>
  </si>
  <si>
    <t>2568</t>
  </si>
  <si>
    <t>North East</t>
  </si>
  <si>
    <t>Name</t>
  </si>
  <si>
    <t>No.</t>
  </si>
  <si>
    <t>Active Members</t>
  </si>
  <si>
    <t>328</t>
  </si>
  <si>
    <t>HOC Q1</t>
  </si>
  <si>
    <t>HOC Q3</t>
  </si>
  <si>
    <t>HOC Q4</t>
  </si>
  <si>
    <t>HOC Q2</t>
  </si>
  <si>
    <t>7 (87.5%)</t>
  </si>
  <si>
    <t>6 (75%)</t>
  </si>
  <si>
    <t>5 (62.5%)</t>
  </si>
  <si>
    <t>4 (50%)</t>
  </si>
  <si>
    <t>3 (37.5%)</t>
  </si>
  <si>
    <t>2 (25%)</t>
  </si>
  <si>
    <t>1 (12.5%)</t>
  </si>
  <si>
    <t>Red  Lodges below</t>
  </si>
  <si>
    <t>Green Lodges
= or above</t>
  </si>
  <si>
    <t>272</t>
  </si>
  <si>
    <t>263</t>
  </si>
  <si>
    <t>553</t>
  </si>
  <si>
    <t>508</t>
  </si>
  <si>
    <t>724</t>
  </si>
  <si>
    <t>186</t>
  </si>
  <si>
    <t>District  Points Average</t>
  </si>
  <si>
    <t>129</t>
  </si>
  <si>
    <t>233</t>
  </si>
  <si>
    <t>1146</t>
  </si>
  <si>
    <t>222</t>
  </si>
  <si>
    <t>710</t>
  </si>
  <si>
    <t>367</t>
  </si>
  <si>
    <t>1230</t>
  </si>
  <si>
    <t>296</t>
  </si>
  <si>
    <t>105</t>
  </si>
  <si>
    <t>558</t>
  </si>
  <si>
    <t>373</t>
  </si>
  <si>
    <t>352</t>
  </si>
  <si>
    <t>443</t>
  </si>
  <si>
    <t>742</t>
  </si>
  <si>
    <t>994</t>
  </si>
  <si>
    <t>520</t>
  </si>
  <si>
    <t>302</t>
  </si>
  <si>
    <t>279</t>
  </si>
  <si>
    <t>229</t>
  </si>
  <si>
    <t xml:space="preserve">Yellow Lodges at or below </t>
  </si>
  <si>
    <t>District's Rank</t>
  </si>
  <si>
    <t>419</t>
  </si>
  <si>
    <t>701</t>
  </si>
  <si>
    <t>170</t>
  </si>
  <si>
    <t>687</t>
  </si>
  <si>
    <t>510</t>
  </si>
  <si>
    <t>484</t>
  </si>
  <si>
    <t>971</t>
  </si>
  <si>
    <t>852</t>
  </si>
  <si>
    <t>417</t>
  </si>
  <si>
    <t>498</t>
  </si>
  <si>
    <t>889</t>
  </si>
  <si>
    <t>513</t>
  </si>
  <si>
    <t>829</t>
  </si>
  <si>
    <t>968</t>
  </si>
  <si>
    <t>208</t>
  </si>
  <si>
    <t>274</t>
  </si>
  <si>
    <t>784</t>
  </si>
  <si>
    <t>456</t>
  </si>
  <si>
    <t>567</t>
  </si>
  <si>
    <t>379</t>
  </si>
  <si>
    <t>312</t>
  </si>
  <si>
    <t>497</t>
  </si>
  <si>
    <t>Delegate roll call</t>
  </si>
  <si>
    <t>425</t>
  </si>
  <si>
    <t>386</t>
  </si>
  <si>
    <t>426</t>
  </si>
  <si>
    <t>147</t>
  </si>
  <si>
    <t>1464</t>
  </si>
  <si>
    <t>1708</t>
  </si>
  <si>
    <t>581</t>
  </si>
  <si>
    <t>709</t>
  </si>
  <si>
    <t>843</t>
  </si>
  <si>
    <t>885</t>
  </si>
  <si>
    <t>271</t>
  </si>
  <si>
    <t>264</t>
  </si>
  <si>
    <t>305</t>
  </si>
  <si>
    <t>831</t>
  </si>
  <si>
    <t>1418</t>
  </si>
  <si>
    <t>1604</t>
  </si>
  <si>
    <t>704</t>
  </si>
  <si>
    <t>518</t>
  </si>
  <si>
    <t>533</t>
  </si>
  <si>
    <t>667</t>
  </si>
  <si>
    <t>763</t>
  </si>
  <si>
    <t>1177</t>
  </si>
  <si>
    <t>369</t>
  </si>
  <si>
    <t>591</t>
  </si>
  <si>
    <t>1337</t>
  </si>
  <si>
    <t>984</t>
  </si>
  <si>
    <t>1585</t>
  </si>
  <si>
    <t>616</t>
  </si>
  <si>
    <t>2669</t>
  </si>
  <si>
    <t>2923</t>
  </si>
  <si>
    <t>1020</t>
  </si>
  <si>
    <t>1945</t>
  </si>
  <si>
    <t>768</t>
  </si>
  <si>
    <t>827</t>
  </si>
  <si>
    <t>1121</t>
  </si>
  <si>
    <t>804</t>
  </si>
  <si>
    <t>1702</t>
  </si>
  <si>
    <t>1456</t>
  </si>
  <si>
    <t>284</t>
  </si>
  <si>
    <t>1124</t>
  </si>
  <si>
    <t>838</t>
  </si>
  <si>
    <t>756</t>
  </si>
  <si>
    <t>466</t>
  </si>
  <si>
    <t>1427</t>
  </si>
  <si>
    <t>1677</t>
  </si>
  <si>
    <t>877</t>
  </si>
  <si>
    <t>505</t>
  </si>
  <si>
    <r>
      <t xml:space="preserve"># on roll as of </t>
    </r>
    <r>
      <rPr>
        <b/>
        <sz val="8"/>
        <color rgb="FFFF0000"/>
        <rFont val="Calibri"/>
        <family val="2"/>
        <scheme val="minor"/>
      </rPr>
      <t>4/30/2025</t>
    </r>
  </si>
  <si>
    <t>Year Beginning</t>
  </si>
  <si>
    <r>
      <t>Endowment</t>
    </r>
    <r>
      <rPr>
        <b/>
        <sz val="9"/>
        <color rgb="FFFF0000"/>
        <rFont val="Calibri"/>
        <family val="2"/>
        <scheme val="minor"/>
      </rPr>
      <t xml:space="preserve"> 2024-25</t>
    </r>
  </si>
  <si>
    <r>
      <t>1st Quarter by</t>
    </r>
    <r>
      <rPr>
        <b/>
        <sz val="9"/>
        <color rgb="FFFF0000"/>
        <rFont val="Calibri"/>
        <family val="2"/>
        <scheme val="minor"/>
      </rPr>
      <t xml:space="preserve"> 8/15/25</t>
    </r>
  </si>
  <si>
    <r>
      <t xml:space="preserve">2nd Quarter by </t>
    </r>
    <r>
      <rPr>
        <b/>
        <sz val="9"/>
        <color rgb="FFFF0000"/>
        <rFont val="Calibri"/>
        <family val="2"/>
        <scheme val="minor"/>
      </rPr>
      <t>11/15/25</t>
    </r>
  </si>
  <si>
    <r>
      <t>3rd Quarter  by</t>
    </r>
    <r>
      <rPr>
        <b/>
        <sz val="9"/>
        <color rgb="FFFF0000"/>
        <rFont val="Calibri"/>
        <family val="2"/>
        <scheme val="minor"/>
      </rPr>
      <t xml:space="preserve"> 2/15/26</t>
    </r>
  </si>
  <si>
    <r>
      <t>4th Quarter by</t>
    </r>
    <r>
      <rPr>
        <b/>
        <sz val="9"/>
        <color rgb="FFFF0000"/>
        <rFont val="Calibri"/>
        <family val="2"/>
        <scheme val="minor"/>
      </rPr>
      <t xml:space="preserve"> 5/15/26</t>
    </r>
  </si>
  <si>
    <r>
      <rPr>
        <b/>
        <sz val="9"/>
        <color theme="1"/>
        <rFont val="Arial Black"/>
        <family val="2"/>
      </rPr>
      <t>Scholarship</t>
    </r>
    <r>
      <rPr>
        <sz val="9"/>
        <color theme="1"/>
        <rFont val="Arial Black"/>
        <family val="2"/>
      </rPr>
      <t xml:space="preserve"> goal .15 per member 2025-26</t>
    </r>
  </si>
  <si>
    <t>Heart Of The Community Report 2025-26</t>
  </si>
  <si>
    <t xml:space="preserve">All Officer &amp; Training Up to Date </t>
  </si>
  <si>
    <t>International Convention
Milwaukee</t>
  </si>
  <si>
    <r>
      <t xml:space="preserve">District Monthly Reports Cumulative              </t>
    </r>
    <r>
      <rPr>
        <sz val="9"/>
        <color rgb="FFFF0000"/>
        <rFont val="Arial Black"/>
        <family val="2"/>
      </rPr>
      <t>Sept. 2025 to Aug. 2026</t>
    </r>
  </si>
  <si>
    <t>Monthly District Reports (District Points Only)</t>
  </si>
  <si>
    <t>District Meeting Attendance</t>
  </si>
  <si>
    <t>One point per session that the President attends, One point per session that the Administrator attends and One point per session that a delegate(s) attends. Maximum points for this catergory is 12.</t>
  </si>
  <si>
    <t>One point per meeting that the President attends, One point per meeting that the Administrator attends and One point per meeting that a delegate(s) attends. Maximum points per meeting is 3.</t>
  </si>
  <si>
    <t>Fraternal Education Current</t>
  </si>
  <si>
    <t>Roll Call at Mid-Year Conference &amp; Annual Convention (PMA)</t>
  </si>
  <si>
    <r>
      <t xml:space="preserve">Youth Awareness </t>
    </r>
    <r>
      <rPr>
        <sz val="8"/>
        <color rgb="FFFF0000"/>
        <rFont val="Arial Black"/>
        <family val="2"/>
      </rPr>
      <t>2025-26</t>
    </r>
  </si>
  <si>
    <r>
      <t xml:space="preserve">Annual Convention
</t>
    </r>
    <r>
      <rPr>
        <sz val="9"/>
        <color rgb="FFFF0000"/>
        <rFont val="Arial Black"/>
        <family val="2"/>
      </rPr>
      <t>2025</t>
    </r>
  </si>
  <si>
    <r>
      <t xml:space="preserve">Mid-Year Conference
</t>
    </r>
    <r>
      <rPr>
        <sz val="9"/>
        <color rgb="FFFF0000"/>
        <rFont val="Arial Black"/>
        <family val="2"/>
      </rPr>
      <t>2026</t>
    </r>
  </si>
  <si>
    <t>PMA Capital Project
Uniting Hearts/Expanding Horizons</t>
  </si>
  <si>
    <t>Membership
Goal of +1</t>
  </si>
  <si>
    <r>
      <t xml:space="preserve">Fraternal Education
</t>
    </r>
    <r>
      <rPr>
        <sz val="9"/>
        <color rgb="FFFF0000"/>
        <rFont val="Arial Black"/>
        <family val="2"/>
      </rPr>
      <t>2025-26</t>
    </r>
  </si>
  <si>
    <t>% of Annual Commitment paid</t>
  </si>
  <si>
    <t>Total Commitment by 04/2028</t>
  </si>
  <si>
    <t>% of 2024/25</t>
  </si>
  <si>
    <t>Cap. Project</t>
  </si>
  <si>
    <t>Dress for Success</t>
  </si>
  <si>
    <t>Retention Rate</t>
  </si>
  <si>
    <t>Retention Goal 80%</t>
  </si>
  <si>
    <t>More than one student complete Kid Talks</t>
  </si>
  <si>
    <t>One student complete Kid Talks</t>
  </si>
  <si>
    <t>6/8</t>
  </si>
  <si>
    <t>1/8</t>
  </si>
  <si>
    <t>8/8</t>
  </si>
  <si>
    <t>7/8</t>
  </si>
  <si>
    <t>3/8</t>
  </si>
  <si>
    <t>4/8</t>
  </si>
  <si>
    <t>6/6</t>
  </si>
  <si>
    <t>5/8</t>
  </si>
  <si>
    <t>2/8</t>
  </si>
  <si>
    <t>2/6</t>
  </si>
  <si>
    <t>5/6</t>
  </si>
  <si>
    <t>0/8</t>
  </si>
  <si>
    <t>Cokeburg 1625</t>
  </si>
  <si>
    <r>
      <t xml:space="preserve">Fraternal Education    </t>
    </r>
    <r>
      <rPr>
        <sz val="9"/>
        <color rgb="FFFF0000"/>
        <rFont val="Arial Black"/>
        <family val="2"/>
      </rPr>
      <t>2025-26</t>
    </r>
  </si>
  <si>
    <t>87.53</t>
  </si>
  <si>
    <t>75</t>
  </si>
  <si>
    <t>83.27</t>
  </si>
  <si>
    <t>80.35</t>
  </si>
  <si>
    <t>88.38</t>
  </si>
  <si>
    <t>89.63</t>
  </si>
  <si>
    <t>88.06</t>
  </si>
  <si>
    <t>87.84</t>
  </si>
  <si>
    <t>89.32</t>
  </si>
  <si>
    <t>86.61</t>
  </si>
  <si>
    <t>88.75</t>
  </si>
  <si>
    <t>87.87</t>
  </si>
  <si>
    <t>331</t>
  </si>
  <si>
    <t>161</t>
  </si>
  <si>
    <t>392</t>
  </si>
  <si>
    <t>627</t>
  </si>
  <si>
    <t>385</t>
  </si>
  <si>
    <t>815</t>
  </si>
  <si>
    <t>396</t>
  </si>
  <si>
    <t>798</t>
  </si>
  <si>
    <t>576</t>
  </si>
  <si>
    <t>221</t>
  </si>
  <si>
    <r>
      <t xml:space="preserve">$ Donated 2025/2026   </t>
    </r>
    <r>
      <rPr>
        <b/>
        <sz val="9"/>
        <color rgb="FFFF0000"/>
        <rFont val="Calibri"/>
        <family val="2"/>
        <scheme val="minor"/>
      </rPr>
      <t xml:space="preserve"> 3/31/2026</t>
    </r>
  </si>
  <si>
    <r>
      <t>$ Paid as of</t>
    </r>
    <r>
      <rPr>
        <b/>
        <sz val="9"/>
        <color rgb="FFFF0000"/>
        <rFont val="Calibri"/>
        <family val="2"/>
        <scheme val="minor"/>
      </rPr>
      <t xml:space="preserve"> 3/31/26</t>
    </r>
  </si>
  <si>
    <r>
      <t>Amount Contributed</t>
    </r>
    <r>
      <rPr>
        <b/>
        <sz val="9"/>
        <color rgb="FFFF0000"/>
        <rFont val="Calibri"/>
        <family val="2"/>
        <scheme val="minor"/>
      </rPr>
      <t xml:space="preserve"> 3/12/2026</t>
    </r>
  </si>
  <si>
    <r>
      <rPr>
        <b/>
        <sz val="9"/>
        <rFont val="Calibri"/>
        <family val="2"/>
        <scheme val="minor"/>
      </rPr>
      <t>As Of</t>
    </r>
    <r>
      <rPr>
        <b/>
        <sz val="9"/>
        <color rgb="FFFF0000"/>
        <rFont val="Calibri"/>
        <family val="2"/>
        <scheme val="minor"/>
      </rPr>
      <t xml:space="preserve"> 
 4/8/26</t>
    </r>
  </si>
  <si>
    <r>
      <t xml:space="preserve">District &amp; Lodge Ratings 2025-26
</t>
    </r>
    <r>
      <rPr>
        <sz val="16"/>
        <color rgb="FFFF0000"/>
        <rFont val="Arial Black"/>
        <family val="2"/>
      </rPr>
      <t>May 10, 2026</t>
    </r>
  </si>
  <si>
    <t>81.62</t>
  </si>
  <si>
    <t>73.64</t>
  </si>
  <si>
    <t>92.23</t>
  </si>
  <si>
    <t>90.13</t>
  </si>
  <si>
    <t>75.94</t>
  </si>
  <si>
    <t>85.73</t>
  </si>
  <si>
    <t>76.42</t>
  </si>
  <si>
    <t>71.06</t>
  </si>
  <si>
    <t>83.87</t>
  </si>
  <si>
    <t>78.47</t>
  </si>
  <si>
    <t>86.94</t>
  </si>
  <si>
    <t>86.82</t>
  </si>
  <si>
    <t>83.41</t>
  </si>
  <si>
    <t>85.29</t>
  </si>
  <si>
    <t>81.77</t>
  </si>
  <si>
    <t>86.17</t>
  </si>
  <si>
    <t>85.04</t>
  </si>
  <si>
    <t>79.55</t>
  </si>
  <si>
    <t>80.89</t>
  </si>
  <si>
    <t>87.86</t>
  </si>
  <si>
    <t>86.51</t>
  </si>
  <si>
    <t>76.43</t>
  </si>
  <si>
    <t>85.33</t>
  </si>
  <si>
    <t>86.62</t>
  </si>
  <si>
    <t>82.49</t>
  </si>
  <si>
    <t>87.71</t>
  </si>
  <si>
    <t>85.15</t>
  </si>
  <si>
    <t>92.37</t>
  </si>
  <si>
    <t>83.78</t>
  </si>
  <si>
    <t>90.25</t>
  </si>
  <si>
    <t>87.46</t>
  </si>
  <si>
    <t>81.91</t>
  </si>
  <si>
    <t>88.49</t>
  </si>
  <si>
    <t>85.22</t>
  </si>
  <si>
    <t>84.61</t>
  </si>
  <si>
    <t>84.92</t>
  </si>
  <si>
    <t>82.01</t>
  </si>
  <si>
    <t>84.75</t>
  </si>
  <si>
    <t>83.24</t>
  </si>
  <si>
    <t>83.65</t>
  </si>
  <si>
    <t>79.56</t>
  </si>
  <si>
    <t>86.49</t>
  </si>
  <si>
    <t>81.67</t>
  </si>
  <si>
    <t>88.86</t>
  </si>
  <si>
    <t>88.79</t>
  </si>
  <si>
    <t>85.71</t>
  </si>
  <si>
    <t>85.50</t>
  </si>
  <si>
    <t>89.41</t>
  </si>
  <si>
    <t>86.77</t>
  </si>
  <si>
    <t>81.51</t>
  </si>
  <si>
    <t>82.12</t>
  </si>
  <si>
    <t>82.81</t>
  </si>
  <si>
    <t>83.01</t>
  </si>
  <si>
    <t>78.72</t>
  </si>
  <si>
    <t>85.67</t>
  </si>
  <si>
    <t>89.07</t>
  </si>
  <si>
    <t>86.56</t>
  </si>
  <si>
    <t>90.01</t>
  </si>
  <si>
    <t>87.42</t>
  </si>
  <si>
    <t>90.22</t>
  </si>
  <si>
    <t>83.90</t>
  </si>
  <si>
    <t>87.63</t>
  </si>
  <si>
    <t>67.62</t>
  </si>
  <si>
    <t>88.22</t>
  </si>
  <si>
    <t>83.88</t>
  </si>
  <si>
    <t>83.22</t>
  </si>
  <si>
    <t>89.29</t>
  </si>
  <si>
    <t>89.55</t>
  </si>
  <si>
    <t>80.57</t>
  </si>
  <si>
    <t>86.11</t>
  </si>
  <si>
    <t>86.03</t>
  </si>
  <si>
    <t>84.67</t>
  </si>
  <si>
    <t>86.29</t>
  </si>
  <si>
    <t>84.07</t>
  </si>
  <si>
    <t>84.41</t>
  </si>
  <si>
    <t>88.68</t>
  </si>
  <si>
    <t>86.88</t>
  </si>
  <si>
    <t>84.66</t>
  </si>
  <si>
    <t>88.39</t>
  </si>
  <si>
    <t>81.47</t>
  </si>
  <si>
    <t>79.09</t>
  </si>
  <si>
    <t>91.69</t>
  </si>
  <si>
    <t>89.12</t>
  </si>
  <si>
    <t>87.16</t>
  </si>
  <si>
    <t>87.13</t>
  </si>
  <si>
    <t>72.97</t>
  </si>
  <si>
    <t>86.19</t>
  </si>
  <si>
    <t>82.69</t>
  </si>
  <si>
    <t>88.40</t>
  </si>
  <si>
    <t>89.44</t>
  </si>
  <si>
    <r>
      <t xml:space="preserve"># on roll as of  </t>
    </r>
    <r>
      <rPr>
        <b/>
        <sz val="8"/>
        <color rgb="FFFF0000"/>
        <rFont val="Calibri"/>
        <family val="2"/>
        <scheme val="minor"/>
      </rPr>
      <t xml:space="preserve"> 4/29/2026</t>
    </r>
  </si>
  <si>
    <t>% as of 4/29/2026</t>
  </si>
  <si>
    <t>449</t>
  </si>
  <si>
    <t>824</t>
  </si>
  <si>
    <t>387</t>
  </si>
  <si>
    <t>332</t>
  </si>
  <si>
    <t>1596</t>
  </si>
  <si>
    <t>972</t>
  </si>
  <si>
    <t>162</t>
  </si>
  <si>
    <t>748</t>
  </si>
  <si>
    <t>506</t>
  </si>
  <si>
    <t>890</t>
  </si>
  <si>
    <t>1055</t>
  </si>
  <si>
    <t>267</t>
  </si>
  <si>
    <t>836</t>
  </si>
  <si>
    <t>287</t>
  </si>
  <si>
    <t>251</t>
  </si>
  <si>
    <t>361</t>
  </si>
  <si>
    <t>320</t>
  </si>
  <si>
    <t>314</t>
  </si>
  <si>
    <t>568</t>
  </si>
  <si>
    <t>246</t>
  </si>
  <si>
    <t>631</t>
  </si>
  <si>
    <t>796</t>
  </si>
  <si>
    <t>463</t>
  </si>
  <si>
    <t>515</t>
  </si>
  <si>
    <t>213</t>
  </si>
  <si>
    <t>699</t>
  </si>
  <si>
    <t>861</t>
  </si>
  <si>
    <t>1371</t>
  </si>
  <si>
    <t>1238</t>
  </si>
  <si>
    <t>258</t>
  </si>
  <si>
    <t>453</t>
  </si>
  <si>
    <t>301</t>
  </si>
  <si>
    <t>2083</t>
  </si>
  <si>
    <t>809</t>
  </si>
  <si>
    <t>778</t>
  </si>
  <si>
    <t>478</t>
  </si>
  <si>
    <t>529</t>
  </si>
  <si>
    <t>777</t>
  </si>
  <si>
    <t>532</t>
  </si>
  <si>
    <t>512</t>
  </si>
  <si>
    <t>326</t>
  </si>
  <si>
    <t>1144</t>
  </si>
  <si>
    <t>589</t>
  </si>
  <si>
    <t>420</t>
  </si>
  <si>
    <t>470</t>
  </si>
  <si>
    <t>1616</t>
  </si>
  <si>
    <t>1110</t>
  </si>
  <si>
    <t>521</t>
  </si>
  <si>
    <t>112</t>
  </si>
  <si>
    <t>249</t>
  </si>
  <si>
    <t>422</t>
  </si>
  <si>
    <t>555</t>
  </si>
  <si>
    <t>678</t>
  </si>
  <si>
    <t>486</t>
  </si>
  <si>
    <t>1152</t>
  </si>
  <si>
    <t>931</t>
  </si>
  <si>
    <t>737</t>
  </si>
  <si>
    <t>1457</t>
  </si>
  <si>
    <t>1765</t>
  </si>
  <si>
    <t>822</t>
  </si>
  <si>
    <t>871</t>
  </si>
  <si>
    <t>1080</t>
  </si>
  <si>
    <t>401</t>
  </si>
  <si>
    <t>622</t>
  </si>
  <si>
    <t>1563</t>
  </si>
  <si>
    <t>554</t>
  </si>
  <si>
    <t>2628</t>
  </si>
  <si>
    <t>1281</t>
  </si>
  <si>
    <t>927</t>
  </si>
  <si>
    <t>2899</t>
  </si>
  <si>
    <t>1029</t>
  </si>
  <si>
    <t>787</t>
  </si>
  <si>
    <t>1123</t>
  </si>
  <si>
    <t>1818</t>
  </si>
  <si>
    <t>1504</t>
  </si>
  <si>
    <t>633</t>
  </si>
  <si>
    <t>811</t>
  </si>
  <si>
    <t>225</t>
  </si>
  <si>
    <t>363</t>
  </si>
  <si>
    <t>1820</t>
  </si>
  <si>
    <t>887</t>
  </si>
  <si>
    <t>85.92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</si>
</sst>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m/d/yy;@"/>
    <numFmt numFmtId="166" formatCode="&quot;$&quot;#,##0.00"/>
    <numFmt numFmtId="167" formatCode="_(&quot;$&quot;* #,##0_);_(&quot;$&quot;* \(#,##0\);_(&quot;$&quot;* &quot;-&quot;??_);_(@_)"/>
    <numFmt numFmtId="168" formatCode="mm/dd/yy;@"/>
    <numFmt numFmtId="169" formatCode="0.0%"/>
    <numFmt numFmtId="170" formatCode="_([$$-409]* #,##0.00_);_([$$-409]* \(#,##0.00\);_([$$-409]* &quot;-&quot;??_);_(@_)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1"/>
      <name val="Arial Black"/>
      <family val="2"/>
    </font>
    <font>
      <sz val="8"/>
      <color theme="1"/>
      <name val="Arial Black"/>
      <family val="2"/>
    </font>
    <font>
      <sz val="11"/>
      <color theme="1"/>
      <name val="Arial Black"/>
      <family val="2"/>
    </font>
    <font>
      <sz val="8"/>
      <name val="Arial Black"/>
      <family val="2"/>
    </font>
    <font>
      <sz val="10"/>
      <color theme="1"/>
      <name val="Arial Black"/>
      <family val="2"/>
    </font>
    <font>
      <sz val="12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Arial Black"/>
      <family val="2"/>
    </font>
    <font>
      <sz val="9"/>
      <color rgb="FFFF0000"/>
      <name val="Arial Black"/>
      <family val="2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0"/>
      <color theme="1"/>
      <name val="Aharoni"/>
      <charset val="177"/>
    </font>
    <font>
      <sz val="16"/>
      <color theme="1"/>
      <name val="Arial Black"/>
      <family val="2"/>
    </font>
    <font>
      <sz val="9"/>
      <color theme="1"/>
      <name val="Arial Black"/>
      <family val="2"/>
    </font>
    <font>
      <sz val="8"/>
      <color rgb="FFFF0000"/>
      <name val="Arial Black"/>
      <family val="2"/>
    </font>
    <font>
      <sz val="9"/>
      <name val="Arial Black"/>
      <family val="2"/>
    </font>
    <font>
      <b/>
      <sz val="9"/>
      <color theme="1"/>
      <name val="Arial Black"/>
      <family val="2"/>
    </font>
    <font>
      <u/>
      <sz val="9"/>
      <color theme="1"/>
      <name val="Arial Black"/>
      <family val="2"/>
    </font>
    <font>
      <sz val="16"/>
      <color rgb="FFFF0000"/>
      <name val="Arial Black"/>
      <family val="2"/>
    </font>
    <font>
      <sz val="26"/>
      <color theme="1"/>
      <name val="Aharoni"/>
      <charset val="177"/>
    </font>
    <font>
      <sz val="9"/>
      <color theme="1"/>
      <name val="Calibri"/>
      <family val="2"/>
      <scheme val="minor"/>
    </font>
    <font>
      <sz val="9"/>
      <color rgb="FF0070C0"/>
      <name val="Arial Black"/>
      <family val="2"/>
    </font>
    <font>
      <sz val="8"/>
      <color theme="1"/>
      <name val="Calibri"/>
      <family val="2"/>
      <scheme val="minor"/>
    </font>
    <font>
      <sz val="10"/>
      <color theme="0"/>
      <name val="Arial Black"/>
      <family val="2"/>
    </font>
    <font>
      <b/>
      <sz val="14"/>
      <color theme="1"/>
      <name val="Calibri"/>
      <family val="2"/>
      <scheme val="minor"/>
    </font>
    <font>
      <sz val="10"/>
      <name val="Arial Black"/>
      <family val="2"/>
    </font>
    <font>
      <sz val="14"/>
      <color theme="1"/>
      <name val="Arial Black"/>
      <family val="2"/>
    </font>
    <font>
      <sz val="11"/>
      <name val="Arial Black"/>
      <family val="2"/>
    </font>
    <font>
      <sz val="22"/>
      <color theme="1"/>
      <name val="Arial Black"/>
      <family val="2"/>
    </font>
    <font>
      <sz val="12"/>
      <name val="Arial"/>
      <family val="2"/>
    </font>
    <font>
      <sz val="8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51" applyNumberFormat="0" applyFill="0" applyAlignment="0" applyProtection="0"/>
    <xf numFmtId="0" fontId="39" fillId="0" borderId="52" applyNumberFormat="0" applyFill="0" applyAlignment="0" applyProtection="0"/>
    <xf numFmtId="0" fontId="40" fillId="0" borderId="53" applyNumberFormat="0" applyFill="0" applyAlignment="0" applyProtection="0"/>
    <xf numFmtId="0" fontId="40" fillId="0" borderId="0" applyNumberFormat="0" applyFill="0" applyBorder="0" applyAlignment="0" applyProtection="0"/>
    <xf numFmtId="0" fontId="41" fillId="12" borderId="0" applyNumberFormat="0" applyBorder="0" applyAlignment="0" applyProtection="0"/>
    <xf numFmtId="0" fontId="42" fillId="13" borderId="0" applyNumberFormat="0" applyBorder="0" applyAlignment="0" applyProtection="0"/>
    <xf numFmtId="0" fontId="43" fillId="14" borderId="0" applyNumberFormat="0" applyBorder="0" applyAlignment="0" applyProtection="0"/>
    <xf numFmtId="0" fontId="44" fillId="15" borderId="54" applyNumberFormat="0" applyAlignment="0" applyProtection="0"/>
    <xf numFmtId="0" fontId="45" fillId="16" borderId="55" applyNumberFormat="0" applyAlignment="0" applyProtection="0"/>
    <xf numFmtId="0" fontId="46" fillId="16" borderId="54" applyNumberFormat="0" applyAlignment="0" applyProtection="0"/>
    <xf numFmtId="0" fontId="47" fillId="0" borderId="56" applyNumberFormat="0" applyFill="0" applyAlignment="0" applyProtection="0"/>
    <xf numFmtId="0" fontId="48" fillId="17" borderId="57" applyNumberFormat="0" applyAlignment="0" applyProtection="0"/>
    <xf numFmtId="0" fontId="49" fillId="0" borderId="0" applyNumberFormat="0" applyFill="0" applyBorder="0" applyAlignment="0" applyProtection="0"/>
    <xf numFmtId="0" fontId="1" fillId="18" borderId="58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59" applyNumberFormat="0" applyFill="0" applyAlignment="0" applyProtection="0"/>
    <xf numFmtId="0" fontId="52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52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52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5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52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52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</cellStyleXfs>
  <cellXfs count="441">
    <xf numFmtId="0" fontId="0" fillId="0" borderId="0" xfId="0"/>
    <xf numFmtId="0" fontId="2" fillId="0" borderId="1" xfId="0" applyFont="1" applyBorder="1"/>
    <xf numFmtId="0" fontId="3" fillId="0" borderId="1" xfId="0" applyFont="1" applyBorder="1" applyAlignment="1">
      <alignment horizontal="center" vertical="center"/>
    </xf>
    <xf numFmtId="166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8" fillId="0" borderId="1" xfId="0" applyFont="1" applyBorder="1"/>
    <xf numFmtId="0" fontId="0" fillId="0" borderId="11" xfId="0" applyBorder="1"/>
    <xf numFmtId="1" fontId="2" fillId="0" borderId="0" xfId="0" applyNumberFormat="1" applyFont="1"/>
    <xf numFmtId="0" fontId="2" fillId="0" borderId="0" xfId="0" applyFont="1"/>
    <xf numFmtId="165" fontId="3" fillId="0" borderId="1" xfId="0" applyNumberFormat="1" applyFont="1" applyBorder="1" applyAlignment="1">
      <alignment horizontal="center" vertical="center"/>
    </xf>
    <xf numFmtId="0" fontId="8" fillId="0" borderId="4" xfId="0" applyFont="1" applyBorder="1"/>
    <xf numFmtId="164" fontId="3" fillId="0" borderId="0" xfId="0" applyNumberFormat="1" applyFont="1"/>
    <xf numFmtId="49" fontId="2" fillId="0" borderId="0" xfId="0" applyNumberFormat="1" applyFont="1"/>
    <xf numFmtId="0" fontId="3" fillId="0" borderId="0" xfId="0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166" fontId="2" fillId="0" borderId="0" xfId="0" applyNumberFormat="1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6" fillId="0" borderId="0" xfId="0" applyFont="1"/>
    <xf numFmtId="49" fontId="26" fillId="0" borderId="13" xfId="0" applyNumberFormat="1" applyFont="1" applyBorder="1" applyAlignment="1">
      <alignment horizontal="center" vertical="center"/>
    </xf>
    <xf numFmtId="0" fontId="26" fillId="0" borderId="33" xfId="0" applyFont="1" applyBorder="1" applyAlignment="1">
      <alignment horizontal="center" vertical="center"/>
    </xf>
    <xf numFmtId="49" fontId="26" fillId="0" borderId="6" xfId="0" applyNumberFormat="1" applyFont="1" applyBorder="1" applyAlignment="1">
      <alignment horizontal="center" vertical="center"/>
    </xf>
    <xf numFmtId="0" fontId="26" fillId="0" borderId="34" xfId="0" applyFont="1" applyBorder="1" applyAlignment="1">
      <alignment horizontal="center" vertical="center"/>
    </xf>
    <xf numFmtId="49" fontId="26" fillId="0" borderId="6" xfId="0" applyNumberFormat="1" applyFont="1" applyBorder="1" applyAlignment="1">
      <alignment horizontal="left" vertical="center"/>
    </xf>
    <xf numFmtId="49" fontId="26" fillId="7" borderId="6" xfId="0" applyNumberFormat="1" applyFont="1" applyFill="1" applyBorder="1" applyAlignment="1">
      <alignment horizontal="center" vertical="center"/>
    </xf>
    <xf numFmtId="0" fontId="26" fillId="7" borderId="34" xfId="0" applyFont="1" applyFill="1" applyBorder="1" applyAlignment="1">
      <alignment horizontal="center" vertical="center"/>
    </xf>
    <xf numFmtId="49" fontId="26" fillId="0" borderId="10" xfId="0" applyNumberFormat="1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  <xf numFmtId="0" fontId="26" fillId="7" borderId="6" xfId="0" applyFont="1" applyFill="1" applyBorder="1" applyAlignment="1">
      <alignment horizontal="center" vertical="center"/>
    </xf>
    <xf numFmtId="6" fontId="26" fillId="7" borderId="6" xfId="0" applyNumberFormat="1" applyFont="1" applyFill="1" applyBorder="1" applyAlignment="1">
      <alignment horizontal="center" vertical="center"/>
    </xf>
    <xf numFmtId="0" fontId="26" fillId="0" borderId="37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6" fillId="0" borderId="38" xfId="0" applyFont="1" applyBorder="1" applyAlignment="1">
      <alignment horizontal="center" vertical="center"/>
    </xf>
    <xf numFmtId="8" fontId="26" fillId="0" borderId="10" xfId="0" applyNumberFormat="1" applyFont="1" applyBorder="1" applyAlignment="1">
      <alignment horizontal="center" vertical="center"/>
    </xf>
    <xf numFmtId="6" fontId="26" fillId="0" borderId="10" xfId="0" applyNumberFormat="1" applyFont="1" applyBorder="1" applyAlignment="1">
      <alignment horizontal="center" vertical="center"/>
    </xf>
    <xf numFmtId="0" fontId="25" fillId="2" borderId="0" xfId="0" applyFont="1" applyFill="1" applyAlignment="1">
      <alignment horizontal="center"/>
    </xf>
    <xf numFmtId="0" fontId="26" fillId="0" borderId="8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9" fontId="26" fillId="0" borderId="8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9" fillId="0" borderId="0" xfId="0" applyFont="1"/>
    <xf numFmtId="0" fontId="0" fillId="0" borderId="10" xfId="0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/>
    </xf>
    <xf numFmtId="0" fontId="0" fillId="0" borderId="1" xfId="0" applyBorder="1" applyAlignment="1">
      <alignment horizontal="left" vertical="center"/>
    </xf>
    <xf numFmtId="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1" fontId="0" fillId="0" borderId="1" xfId="0" applyNumberForma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0" fillId="0" borderId="24" xfId="0" applyBorder="1"/>
    <xf numFmtId="0" fontId="19" fillId="0" borderId="4" xfId="0" applyFont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0" fontId="0" fillId="2" borderId="0" xfId="0" applyFill="1"/>
    <xf numFmtId="1" fontId="0" fillId="0" borderId="1" xfId="3" applyNumberFormat="1" applyFont="1" applyBorder="1" applyAlignment="1">
      <alignment horizontal="center" vertical="center"/>
    </xf>
    <xf numFmtId="0" fontId="7" fillId="4" borderId="26" xfId="0" applyFont="1" applyFill="1" applyBorder="1" applyAlignment="1" applyProtection="1">
      <alignment horizontal="center" vertical="center" wrapText="1"/>
      <protection locked="0"/>
    </xf>
    <xf numFmtId="0" fontId="7" fillId="4" borderId="29" xfId="0" applyFont="1" applyFill="1" applyBorder="1" applyAlignment="1" applyProtection="1">
      <alignment horizontal="center" vertical="center" wrapText="1"/>
      <protection locked="0"/>
    </xf>
    <xf numFmtId="0" fontId="21" fillId="5" borderId="16" xfId="0" applyFont="1" applyFill="1" applyBorder="1" applyAlignment="1" applyProtection="1">
      <alignment horizontal="center" vertical="center" wrapText="1"/>
      <protection locked="0"/>
    </xf>
    <xf numFmtId="0" fontId="21" fillId="5" borderId="24" xfId="0" applyFont="1" applyFill="1" applyBorder="1" applyAlignment="1" applyProtection="1">
      <alignment horizontal="center" vertical="center" wrapText="1"/>
      <protection locked="0"/>
    </xf>
    <xf numFmtId="0" fontId="4" fillId="5" borderId="30" xfId="0" applyFont="1" applyFill="1" applyBorder="1" applyAlignment="1" applyProtection="1">
      <alignment horizontal="center" vertical="center" wrapText="1"/>
      <protection locked="0"/>
    </xf>
    <xf numFmtId="0" fontId="21" fillId="6" borderId="29" xfId="0" applyFont="1" applyFill="1" applyBorder="1" applyAlignment="1" applyProtection="1">
      <alignment horizontal="center" vertical="center" wrapText="1"/>
      <protection locked="0"/>
    </xf>
    <xf numFmtId="0" fontId="4" fillId="6" borderId="24" xfId="0" applyFont="1" applyFill="1" applyBorder="1" applyAlignment="1" applyProtection="1">
      <alignment horizontal="center" vertical="center" wrapText="1"/>
      <protection locked="0"/>
    </xf>
    <xf numFmtId="0" fontId="19" fillId="6" borderId="24" xfId="0" applyFont="1" applyFill="1" applyBorder="1" applyAlignment="1" applyProtection="1">
      <alignment horizontal="center" vertical="center" wrapText="1"/>
      <protection locked="0"/>
    </xf>
    <xf numFmtId="0" fontId="2" fillId="5" borderId="25" xfId="0" applyFont="1" applyFill="1" applyBorder="1" applyAlignment="1" applyProtection="1">
      <alignment horizontal="center" vertical="center" wrapText="1"/>
      <protection locked="0"/>
    </xf>
    <xf numFmtId="0" fontId="2" fillId="5" borderId="16" xfId="0" applyFont="1" applyFill="1" applyBorder="1" applyAlignment="1" applyProtection="1">
      <alignment horizontal="center" vertical="center" wrapText="1"/>
      <protection locked="0"/>
    </xf>
    <xf numFmtId="49" fontId="12" fillId="5" borderId="16" xfId="0" applyNumberFormat="1" applyFont="1" applyFill="1" applyBorder="1" applyAlignment="1" applyProtection="1">
      <alignment horizontal="center" vertical="center" wrapText="1"/>
      <protection locked="0"/>
    </xf>
    <xf numFmtId="0" fontId="12" fillId="5" borderId="16" xfId="0" applyFont="1" applyFill="1" applyBorder="1" applyAlignment="1" applyProtection="1">
      <alignment horizontal="center" vertical="center" wrapText="1"/>
      <protection locked="0"/>
    </xf>
    <xf numFmtId="0" fontId="9" fillId="5" borderId="24" xfId="0" applyFont="1" applyFill="1" applyBorder="1" applyAlignment="1" applyProtection="1">
      <alignment horizontal="center" vertical="center" wrapText="1"/>
      <protection locked="0"/>
    </xf>
    <xf numFmtId="0" fontId="15" fillId="5" borderId="25" xfId="0" applyFont="1" applyFill="1" applyBorder="1" applyAlignment="1" applyProtection="1">
      <alignment horizontal="center" vertical="center" wrapText="1"/>
      <protection locked="0"/>
    </xf>
    <xf numFmtId="0" fontId="14" fillId="5" borderId="24" xfId="0" applyFont="1" applyFill="1" applyBorder="1" applyAlignment="1" applyProtection="1">
      <alignment horizontal="center" vertical="center" wrapText="1"/>
      <protection locked="0"/>
    </xf>
    <xf numFmtId="0" fontId="12" fillId="5" borderId="22" xfId="0" applyFont="1" applyFill="1" applyBorder="1" applyAlignment="1" applyProtection="1">
      <alignment horizontal="center" vertical="center" wrapText="1"/>
      <protection locked="0"/>
    </xf>
    <xf numFmtId="14" fontId="13" fillId="6" borderId="16" xfId="0" applyNumberFormat="1" applyFont="1" applyFill="1" applyBorder="1" applyAlignment="1" applyProtection="1">
      <alignment horizontal="center" vertical="center" wrapText="1"/>
      <protection locked="0"/>
    </xf>
    <xf numFmtId="168" fontId="13" fillId="6" borderId="16" xfId="0" applyNumberFormat="1" applyFont="1" applyFill="1" applyBorder="1" applyAlignment="1" applyProtection="1">
      <alignment horizontal="center" vertical="center" wrapText="1"/>
      <protection locked="0"/>
    </xf>
    <xf numFmtId="0" fontId="12" fillId="6" borderId="16" xfId="0" applyFont="1" applyFill="1" applyBorder="1" applyAlignment="1" applyProtection="1">
      <alignment horizontal="center" vertical="center" wrapText="1"/>
      <protection locked="0"/>
    </xf>
    <xf numFmtId="0" fontId="14" fillId="6" borderId="4" xfId="0" applyFont="1" applyFill="1" applyBorder="1" applyAlignment="1" applyProtection="1">
      <alignment horizontal="center" vertical="center" readingOrder="1"/>
      <protection locked="0"/>
    </xf>
    <xf numFmtId="0" fontId="14" fillId="6" borderId="4" xfId="0" applyFont="1" applyFill="1" applyBorder="1" applyAlignment="1" applyProtection="1">
      <alignment horizontal="center" vertical="center" wrapText="1"/>
      <protection locked="0"/>
    </xf>
    <xf numFmtId="0" fontId="12" fillId="6" borderId="21" xfId="0" applyFont="1" applyFill="1" applyBorder="1" applyAlignment="1" applyProtection="1">
      <alignment horizontal="center" vertical="center" wrapText="1"/>
      <protection locked="0"/>
    </xf>
    <xf numFmtId="0" fontId="12" fillId="6" borderId="20" xfId="0" applyFont="1" applyFill="1" applyBorder="1" applyAlignment="1" applyProtection="1">
      <alignment horizontal="center" vertical="center" wrapText="1"/>
      <protection locked="0"/>
    </xf>
    <xf numFmtId="0" fontId="12" fillId="6" borderId="15" xfId="0" applyFont="1" applyFill="1" applyBorder="1" applyAlignment="1" applyProtection="1">
      <alignment horizontal="center" vertical="center" wrapText="1"/>
      <protection locked="0"/>
    </xf>
    <xf numFmtId="169" fontId="12" fillId="5" borderId="16" xfId="0" applyNumberFormat="1" applyFont="1" applyFill="1" applyBorder="1" applyAlignment="1" applyProtection="1">
      <alignment horizontal="center" vertical="center" wrapText="1"/>
      <protection locked="0"/>
    </xf>
    <xf numFmtId="169" fontId="2" fillId="0" borderId="1" xfId="0" applyNumberFormat="1" applyFont="1" applyBorder="1"/>
    <xf numFmtId="169" fontId="2" fillId="0" borderId="0" xfId="0" applyNumberFormat="1" applyFont="1"/>
    <xf numFmtId="169" fontId="0" fillId="0" borderId="0" xfId="0" applyNumberFormat="1"/>
    <xf numFmtId="0" fontId="13" fillId="4" borderId="16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164" fontId="4" fillId="0" borderId="0" xfId="0" applyNumberFormat="1" applyFont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center" vertical="center"/>
    </xf>
    <xf numFmtId="166" fontId="12" fillId="5" borderId="16" xfId="5" applyNumberFormat="1" applyFont="1" applyFill="1" applyBorder="1" applyAlignment="1" applyProtection="1">
      <alignment horizontal="center" vertical="center" wrapText="1"/>
      <protection locked="0"/>
    </xf>
    <xf numFmtId="166" fontId="0" fillId="0" borderId="0" xfId="5" applyNumberFormat="1" applyFont="1"/>
    <xf numFmtId="0" fontId="35" fillId="0" borderId="0" xfId="0" applyFont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17" fillId="3" borderId="25" xfId="0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166" fontId="3" fillId="0" borderId="0" xfId="1" applyNumberFormat="1" applyFont="1" applyFill="1" applyBorder="1" applyAlignment="1">
      <alignment horizontal="center"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69" fontId="3" fillId="0" borderId="0" xfId="2" applyNumberFormat="1" applyFont="1" applyFill="1" applyBorder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166" fontId="4" fillId="0" borderId="0" xfId="1" applyNumberFormat="1" applyFont="1" applyFill="1" applyBorder="1" applyAlignment="1">
      <alignment horizontal="center" vertical="center"/>
    </xf>
    <xf numFmtId="169" fontId="4" fillId="0" borderId="0" xfId="1" applyNumberFormat="1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6" fontId="4" fillId="0" borderId="0" xfId="5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1" applyNumberFormat="1" applyFont="1" applyFill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166" fontId="3" fillId="0" borderId="0" xfId="5" applyNumberFormat="1" applyFont="1" applyFill="1" applyBorder="1"/>
    <xf numFmtId="1" fontId="4" fillId="0" borderId="0" xfId="0" applyNumberFormat="1" applyFont="1" applyAlignment="1">
      <alignment horizontal="center"/>
    </xf>
    <xf numFmtId="1" fontId="0" fillId="0" borderId="0" xfId="0" applyNumberFormat="1"/>
    <xf numFmtId="166" fontId="6" fillId="0" borderId="0" xfId="5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166" fontId="4" fillId="0" borderId="0" xfId="0" applyNumberFormat="1" applyFont="1" applyAlignment="1">
      <alignment horizontal="center" vertical="center"/>
    </xf>
    <xf numFmtId="167" fontId="3" fillId="0" borderId="0" xfId="1" applyNumberFormat="1" applyFont="1" applyFill="1" applyBorder="1" applyAlignment="1">
      <alignment horizontal="center" vertical="center"/>
    </xf>
    <xf numFmtId="169" fontId="3" fillId="0" borderId="0" xfId="1" applyNumberFormat="1" applyFont="1" applyFill="1" applyBorder="1" applyAlignment="1">
      <alignment horizontal="center" vertical="center"/>
    </xf>
    <xf numFmtId="0" fontId="3" fillId="0" borderId="0" xfId="0" applyFont="1"/>
    <xf numFmtId="165" fontId="3" fillId="0" borderId="0" xfId="0" applyNumberFormat="1" applyFont="1"/>
    <xf numFmtId="170" fontId="0" fillId="0" borderId="0" xfId="0" applyNumberFormat="1"/>
    <xf numFmtId="0" fontId="4" fillId="3" borderId="26" xfId="0" applyFont="1" applyFill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5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/>
    </xf>
    <xf numFmtId="0" fontId="26" fillId="0" borderId="0" xfId="0" applyFont="1" applyAlignment="1">
      <alignment vertical="center" wrapText="1"/>
    </xf>
    <xf numFmtId="49" fontId="26" fillId="0" borderId="8" xfId="0" applyNumberFormat="1" applyFont="1" applyBorder="1" applyAlignment="1">
      <alignment horizontal="center" vertical="center"/>
    </xf>
    <xf numFmtId="0" fontId="26" fillId="0" borderId="48" xfId="0" applyFont="1" applyBorder="1" applyAlignment="1">
      <alignment horizontal="center" vertical="center"/>
    </xf>
    <xf numFmtId="49" fontId="28" fillId="0" borderId="6" xfId="0" applyNumberFormat="1" applyFont="1" applyBorder="1" applyAlignment="1">
      <alignment horizontal="center" vertical="center"/>
    </xf>
    <xf numFmtId="9" fontId="28" fillId="7" borderId="6" xfId="0" applyNumberFormat="1" applyFont="1" applyFill="1" applyBorder="1" applyAlignment="1">
      <alignment horizontal="center" vertical="center"/>
    </xf>
    <xf numFmtId="0" fontId="26" fillId="7" borderId="37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6" fontId="0" fillId="7" borderId="6" xfId="0" applyNumberFormat="1" applyFill="1" applyBorder="1" applyAlignment="1">
      <alignment horizontal="center" vertical="center"/>
    </xf>
    <xf numFmtId="0" fontId="0" fillId="7" borderId="34" xfId="0" applyFill="1" applyBorder="1" applyAlignment="1">
      <alignment horizontal="center" vertical="center"/>
    </xf>
    <xf numFmtId="6" fontId="0" fillId="0" borderId="6" xfId="0" applyNumberFormat="1" applyBorder="1" applyAlignment="1">
      <alignment horizontal="center" vertical="center"/>
    </xf>
    <xf numFmtId="6" fontId="0" fillId="0" borderId="10" xfId="0" applyNumberForma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26" fillId="0" borderId="49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Protection="1"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9" fontId="0" fillId="0" borderId="1" xfId="0" applyNumberFormat="1" applyBorder="1" applyProtection="1">
      <protection locked="0"/>
    </xf>
    <xf numFmtId="0" fontId="0" fillId="0" borderId="4" xfId="0" applyBorder="1" applyProtection="1">
      <protection locked="0"/>
    </xf>
    <xf numFmtId="49" fontId="0" fillId="0" borderId="1" xfId="0" applyNumberFormat="1" applyBorder="1" applyProtection="1">
      <protection locked="0"/>
    </xf>
    <xf numFmtId="0" fontId="0" fillId="0" borderId="3" xfId="0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2" xfId="0" applyBorder="1" applyProtection="1">
      <protection locked="0"/>
    </xf>
    <xf numFmtId="0" fontId="0" fillId="2" borderId="1" xfId="0" applyFill="1" applyBorder="1" applyProtection="1">
      <protection locked="0"/>
    </xf>
    <xf numFmtId="0" fontId="8" fillId="0" borderId="1" xfId="0" applyFont="1" applyBorder="1" applyProtection="1"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66" fontId="4" fillId="0" borderId="1" xfId="0" applyNumberFormat="1" applyFont="1" applyBorder="1" applyAlignment="1" applyProtection="1">
      <alignment horizontal="center" vertical="center"/>
      <protection locked="0"/>
    </xf>
    <xf numFmtId="164" fontId="3" fillId="0" borderId="1" xfId="1" applyNumberFormat="1" applyFont="1" applyBorder="1" applyAlignment="1" applyProtection="1">
      <alignment horizontal="center" vertical="center"/>
      <protection locked="0"/>
    </xf>
    <xf numFmtId="166" fontId="4" fillId="0" borderId="3" xfId="1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166" fontId="4" fillId="2" borderId="2" xfId="1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166" fontId="4" fillId="0" borderId="1" xfId="1" applyNumberFormat="1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166" fontId="6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protection locked="0"/>
    </xf>
    <xf numFmtId="164" fontId="4" fillId="0" borderId="3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169" fontId="2" fillId="0" borderId="1" xfId="0" applyNumberFormat="1" applyFont="1" applyBorder="1" applyProtection="1">
      <protection locked="0"/>
    </xf>
    <xf numFmtId="166" fontId="2" fillId="0" borderId="1" xfId="0" applyNumberFormat="1" applyFont="1" applyBorder="1" applyProtection="1">
      <protection locked="0"/>
    </xf>
    <xf numFmtId="0" fontId="2" fillId="0" borderId="1" xfId="0" applyFont="1" applyBorder="1" applyAlignment="1" applyProtection="1">
      <alignment vertical="center"/>
      <protection locked="0"/>
    </xf>
    <xf numFmtId="166" fontId="3" fillId="0" borderId="1" xfId="5" applyNumberFormat="1" applyFont="1" applyBorder="1" applyProtection="1">
      <protection locked="0"/>
    </xf>
    <xf numFmtId="49" fontId="2" fillId="0" borderId="1" xfId="0" applyNumberFormat="1" applyFont="1" applyBorder="1" applyProtection="1">
      <protection locked="0"/>
    </xf>
    <xf numFmtId="0" fontId="2" fillId="2" borderId="1" xfId="0" applyFont="1" applyFill="1" applyBorder="1" applyProtection="1">
      <protection locked="0"/>
    </xf>
    <xf numFmtId="166" fontId="2" fillId="2" borderId="1" xfId="0" applyNumberFormat="1" applyFont="1" applyFill="1" applyBorder="1" applyProtection="1">
      <protection locked="0"/>
    </xf>
    <xf numFmtId="1" fontId="2" fillId="0" borderId="1" xfId="0" applyNumberFormat="1" applyFont="1" applyBorder="1" applyProtection="1">
      <protection locked="0"/>
    </xf>
    <xf numFmtId="1" fontId="3" fillId="2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2" xfId="0" applyNumberFormat="1" applyFont="1" applyBorder="1" applyProtection="1">
      <protection locked="0"/>
    </xf>
    <xf numFmtId="164" fontId="3" fillId="0" borderId="1" xfId="0" applyNumberFormat="1" applyFont="1" applyBorder="1" applyProtection="1">
      <protection locked="0"/>
    </xf>
    <xf numFmtId="0" fontId="2" fillId="0" borderId="3" xfId="0" applyFont="1" applyBorder="1" applyProtection="1">
      <protection locked="0"/>
    </xf>
    <xf numFmtId="1" fontId="2" fillId="2" borderId="1" xfId="0" applyNumberFormat="1" applyFont="1" applyFill="1" applyBorder="1" applyProtection="1">
      <protection locked="0"/>
    </xf>
    <xf numFmtId="1" fontId="3" fillId="0" borderId="1" xfId="0" applyNumberFormat="1" applyFont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Protection="1"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0" xfId="0" applyFont="1" applyProtection="1">
      <protection locked="0"/>
    </xf>
    <xf numFmtId="164" fontId="3" fillId="0" borderId="14" xfId="0" applyNumberFormat="1" applyFont="1" applyBorder="1" applyProtection="1">
      <protection locked="0"/>
    </xf>
    <xf numFmtId="0" fontId="2" fillId="0" borderId="14" xfId="0" applyFont="1" applyBorder="1" applyAlignment="1" applyProtection="1">
      <alignment vertical="center"/>
      <protection locked="0"/>
    </xf>
    <xf numFmtId="49" fontId="0" fillId="0" borderId="0" xfId="0" applyNumberFormat="1" applyProtection="1">
      <protection locked="0"/>
    </xf>
    <xf numFmtId="49" fontId="2" fillId="0" borderId="14" xfId="0" applyNumberFormat="1" applyFont="1" applyBorder="1" applyProtection="1">
      <protection locked="0"/>
    </xf>
    <xf numFmtId="0" fontId="2" fillId="2" borderId="14" xfId="0" applyFont="1" applyFill="1" applyBorder="1" applyProtection="1">
      <protection locked="0"/>
    </xf>
    <xf numFmtId="166" fontId="2" fillId="2" borderId="14" xfId="0" applyNumberFormat="1" applyFont="1" applyFill="1" applyBorder="1" applyProtection="1">
      <protection locked="0"/>
    </xf>
    <xf numFmtId="1" fontId="2" fillId="0" borderId="14" xfId="0" applyNumberFormat="1" applyFont="1" applyBorder="1" applyProtection="1">
      <protection locked="0"/>
    </xf>
    <xf numFmtId="1" fontId="2" fillId="2" borderId="0" xfId="0" applyNumberFormat="1" applyFont="1" applyFill="1" applyProtection="1">
      <protection locked="0"/>
    </xf>
    <xf numFmtId="166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0" fontId="0" fillId="0" borderId="11" xfId="0" applyBorder="1" applyProtection="1"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49" fontId="2" fillId="0" borderId="0" xfId="0" applyNumberFormat="1" applyFont="1" applyProtection="1">
      <protection locked="0"/>
    </xf>
    <xf numFmtId="0" fontId="2" fillId="2" borderId="0" xfId="0" applyFont="1" applyFill="1" applyProtection="1">
      <protection locked="0"/>
    </xf>
    <xf numFmtId="166" fontId="2" fillId="2" borderId="0" xfId="0" applyNumberFormat="1" applyFont="1" applyFill="1" applyProtection="1">
      <protection locked="0"/>
    </xf>
    <xf numFmtId="1" fontId="2" fillId="0" borderId="0" xfId="0" applyNumberFormat="1" applyFont="1" applyProtection="1">
      <protection locked="0"/>
    </xf>
    <xf numFmtId="1" fontId="3" fillId="0" borderId="0" xfId="0" applyNumberFormat="1" applyFont="1" applyAlignment="1" applyProtection="1">
      <alignment horizontal="center" vertical="center"/>
      <protection locked="0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0" fontId="8" fillId="0" borderId="4" xfId="0" applyFont="1" applyBorder="1" applyProtection="1">
      <protection locked="0"/>
    </xf>
    <xf numFmtId="0" fontId="3" fillId="4" borderId="4" xfId="0" applyFont="1" applyFill="1" applyBorder="1" applyAlignment="1" applyProtection="1">
      <alignment horizontal="center" vertical="center"/>
      <protection locked="0"/>
    </xf>
    <xf numFmtId="167" fontId="3" fillId="0" borderId="1" xfId="1" applyNumberFormat="1" applyFont="1" applyBorder="1" applyAlignment="1" applyProtection="1">
      <alignment horizontal="center" vertical="center"/>
      <protection locked="0"/>
    </xf>
    <xf numFmtId="1" fontId="2" fillId="2" borderId="11" xfId="0" applyNumberFormat="1" applyFont="1" applyFill="1" applyBorder="1" applyProtection="1">
      <protection locked="0"/>
    </xf>
    <xf numFmtId="49" fontId="4" fillId="2" borderId="0" xfId="0" applyNumberFormat="1" applyFont="1" applyFill="1" applyAlignment="1" applyProtection="1">
      <alignment horizontal="center" vertical="center"/>
      <protection locked="0"/>
    </xf>
    <xf numFmtId="0" fontId="8" fillId="0" borderId="5" xfId="0" applyFont="1" applyBorder="1" applyProtection="1">
      <protection locked="0"/>
    </xf>
    <xf numFmtId="0" fontId="3" fillId="0" borderId="1" xfId="0" applyFont="1" applyBorder="1" applyProtection="1">
      <protection locked="0"/>
    </xf>
    <xf numFmtId="49" fontId="3" fillId="0" borderId="1" xfId="0" applyNumberFormat="1" applyFont="1" applyBorder="1" applyProtection="1">
      <protection locked="0"/>
    </xf>
    <xf numFmtId="165" fontId="3" fillId="0" borderId="1" xfId="0" applyNumberFormat="1" applyFont="1" applyBorder="1" applyProtection="1">
      <protection locked="0"/>
    </xf>
    <xf numFmtId="0" fontId="4" fillId="0" borderId="1" xfId="1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Protection="1">
      <protection locked="0"/>
    </xf>
    <xf numFmtId="169" fontId="0" fillId="0" borderId="0" xfId="0" applyNumberFormat="1" applyProtection="1">
      <protection locked="0"/>
    </xf>
    <xf numFmtId="166" fontId="0" fillId="0" borderId="0" xfId="5" applyNumberFormat="1" applyFont="1" applyProtection="1">
      <protection locked="0"/>
    </xf>
    <xf numFmtId="0" fontId="3" fillId="4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2" fontId="3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0" borderId="14" xfId="0" applyFont="1" applyBorder="1"/>
    <xf numFmtId="0" fontId="3" fillId="0" borderId="1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5" borderId="4" xfId="0" applyFont="1" applyFill="1" applyBorder="1" applyAlignment="1">
      <alignment horizontal="center" vertical="center"/>
    </xf>
    <xf numFmtId="2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164" fontId="3" fillId="0" borderId="1" xfId="1" applyNumberFormat="1" applyFont="1" applyBorder="1" applyAlignment="1" applyProtection="1">
      <alignment horizontal="center" vertical="center"/>
    </xf>
    <xf numFmtId="169" fontId="3" fillId="0" borderId="1" xfId="2" applyNumberFormat="1" applyFont="1" applyBorder="1" applyAlignment="1" applyProtection="1">
      <alignment horizontal="center" vertical="center"/>
    </xf>
    <xf numFmtId="166" fontId="3" fillId="0" borderId="1" xfId="1" applyNumberFormat="1" applyFont="1" applyBorder="1" applyAlignment="1" applyProtection="1">
      <alignment horizontal="center" vertical="center"/>
    </xf>
    <xf numFmtId="0" fontId="2" fillId="0" borderId="14" xfId="0" applyFont="1" applyBorder="1" applyAlignment="1">
      <alignment horizontal="center"/>
    </xf>
    <xf numFmtId="169" fontId="2" fillId="0" borderId="14" xfId="0" applyNumberFormat="1" applyFont="1" applyBorder="1"/>
    <xf numFmtId="166" fontId="2" fillId="0" borderId="14" xfId="0" applyNumberFormat="1" applyFont="1" applyBorder="1"/>
    <xf numFmtId="164" fontId="3" fillId="0" borderId="14" xfId="1" applyNumberFormat="1" applyFont="1" applyBorder="1" applyAlignment="1" applyProtection="1">
      <alignment horizontal="center" vertical="center"/>
    </xf>
    <xf numFmtId="166" fontId="2" fillId="0" borderId="3" xfId="0" applyNumberFormat="1" applyFont="1" applyBorder="1"/>
    <xf numFmtId="0" fontId="2" fillId="0" borderId="3" xfId="0" applyFont="1" applyBorder="1"/>
    <xf numFmtId="164" fontId="3" fillId="0" borderId="0" xfId="1" applyNumberFormat="1" applyFont="1" applyBorder="1" applyAlignment="1" applyProtection="1">
      <alignment horizontal="center" vertical="center"/>
    </xf>
    <xf numFmtId="164" fontId="3" fillId="0" borderId="5" xfId="1" applyNumberFormat="1" applyFont="1" applyBorder="1" applyAlignment="1" applyProtection="1">
      <alignment horizontal="center" vertical="center"/>
    </xf>
    <xf numFmtId="167" fontId="3" fillId="0" borderId="1" xfId="1" applyNumberFormat="1" applyFont="1" applyBorder="1" applyAlignment="1" applyProtection="1">
      <alignment horizontal="center" vertical="center"/>
    </xf>
    <xf numFmtId="169" fontId="4" fillId="0" borderId="1" xfId="1" applyNumberFormat="1" applyFont="1" applyBorder="1" applyAlignment="1" applyProtection="1">
      <alignment horizontal="center" vertical="center"/>
    </xf>
    <xf numFmtId="166" fontId="6" fillId="2" borderId="1" xfId="5" applyNumberFormat="1" applyFont="1" applyFill="1" applyBorder="1" applyAlignment="1" applyProtection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66" fontId="4" fillId="2" borderId="1" xfId="5" applyNumberFormat="1" applyFont="1" applyFill="1" applyBorder="1" applyAlignment="1" applyProtection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66" fontId="3" fillId="0" borderId="1" xfId="5" applyNumberFormat="1" applyFont="1" applyBorder="1" applyProtection="1"/>
    <xf numFmtId="49" fontId="4" fillId="0" borderId="1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66" fontId="3" fillId="0" borderId="14" xfId="5" applyNumberFormat="1" applyFont="1" applyBorder="1" applyProtection="1"/>
    <xf numFmtId="166" fontId="3" fillId="0" borderId="14" xfId="1" applyNumberFormat="1" applyFont="1" applyBorder="1" applyAlignment="1" applyProtection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49" fontId="0" fillId="0" borderId="0" xfId="0" applyNumberFormat="1"/>
    <xf numFmtId="166" fontId="3" fillId="0" borderId="0" xfId="5" applyNumberFormat="1" applyFont="1" applyProtection="1"/>
    <xf numFmtId="166" fontId="3" fillId="0" borderId="11" xfId="1" applyNumberFormat="1" applyFont="1" applyBorder="1" applyAlignment="1" applyProtection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169" fontId="3" fillId="0" borderId="1" xfId="1" applyNumberFormat="1" applyFont="1" applyBorder="1" applyAlignment="1" applyProtection="1">
      <alignment horizontal="center" vertical="center"/>
    </xf>
    <xf numFmtId="166" fontId="3" fillId="0" borderId="12" xfId="1" applyNumberFormat="1" applyFont="1" applyBorder="1" applyAlignment="1" applyProtection="1">
      <alignment horizontal="center" vertical="center"/>
    </xf>
    <xf numFmtId="0" fontId="2" fillId="0" borderId="12" xfId="0" applyFont="1" applyBorder="1"/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4" fillId="4" borderId="2" xfId="1" applyNumberFormat="1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4" fontId="0" fillId="0" borderId="0" xfId="5" applyFont="1"/>
    <xf numFmtId="1" fontId="19" fillId="5" borderId="26" xfId="0" applyNumberFormat="1" applyFont="1" applyFill="1" applyBorder="1" applyAlignment="1" applyProtection="1">
      <alignment horizontal="center" vertical="center" wrapText="1"/>
      <protection locked="0"/>
    </xf>
    <xf numFmtId="1" fontId="13" fillId="5" borderId="16" xfId="4" applyNumberFormat="1" applyFont="1" applyFill="1" applyBorder="1" applyAlignment="1" applyProtection="1">
      <alignment horizontal="center" vertical="center" wrapText="1"/>
      <protection locked="0"/>
    </xf>
    <xf numFmtId="1" fontId="0" fillId="0" borderId="1" xfId="4" applyNumberFormat="1" applyFont="1" applyBorder="1" applyProtection="1">
      <protection locked="0"/>
    </xf>
    <xf numFmtId="1" fontId="2" fillId="0" borderId="2" xfId="4" applyNumberFormat="1" applyFont="1" applyBorder="1" applyProtection="1"/>
    <xf numFmtId="1" fontId="2" fillId="0" borderId="14" xfId="4" applyNumberFormat="1" applyFont="1" applyBorder="1" applyProtection="1"/>
    <xf numFmtId="1" fontId="2" fillId="0" borderId="0" xfId="4" applyNumberFormat="1" applyFont="1" applyProtection="1"/>
    <xf numFmtId="1" fontId="2" fillId="0" borderId="1" xfId="4" applyNumberFormat="1" applyFont="1" applyBorder="1" applyProtection="1"/>
    <xf numFmtId="1" fontId="0" fillId="0" borderId="0" xfId="4" applyNumberFormat="1" applyFont="1" applyProtection="1">
      <protection locked="0"/>
    </xf>
    <xf numFmtId="0" fontId="19" fillId="5" borderId="29" xfId="0" applyFont="1" applyFill="1" applyBorder="1" applyAlignment="1" applyProtection="1">
      <alignment horizontal="center" vertical="center" wrapText="1"/>
      <protection locked="0"/>
    </xf>
    <xf numFmtId="0" fontId="53" fillId="0" borderId="1" xfId="0" applyFont="1" applyBorder="1" applyAlignment="1">
      <alignment horizontal="center" vertical="center"/>
    </xf>
    <xf numFmtId="164" fontId="53" fillId="0" borderId="1" xfId="1" applyNumberFormat="1" applyFont="1" applyFill="1" applyBorder="1" applyAlignment="1">
      <alignment horizontal="center" vertical="center"/>
    </xf>
    <xf numFmtId="169" fontId="53" fillId="0" borderId="1" xfId="2" applyNumberFormat="1" applyFont="1" applyFill="1" applyBorder="1" applyAlignment="1">
      <alignment horizontal="center" vertical="center"/>
    </xf>
    <xf numFmtId="166" fontId="53" fillId="0" borderId="1" xfId="0" applyNumberFormat="1" applyFont="1" applyBorder="1" applyAlignment="1">
      <alignment horizontal="center" vertical="center"/>
    </xf>
    <xf numFmtId="166" fontId="53" fillId="0" borderId="1" xfId="1" applyNumberFormat="1" applyFont="1" applyFill="1" applyBorder="1" applyAlignment="1">
      <alignment horizontal="center" vertical="center"/>
    </xf>
    <xf numFmtId="164" fontId="53" fillId="0" borderId="1" xfId="0" applyNumberFormat="1" applyFont="1" applyBorder="1" applyAlignment="1">
      <alignment horizontal="center" vertical="center"/>
    </xf>
    <xf numFmtId="1" fontId="53" fillId="0" borderId="1" xfId="0" applyNumberFormat="1" applyFont="1" applyBorder="1" applyAlignment="1">
      <alignment horizontal="center" vertical="center"/>
    </xf>
    <xf numFmtId="49" fontId="53" fillId="0" borderId="1" xfId="0" applyNumberFormat="1" applyFont="1" applyBorder="1" applyAlignment="1">
      <alignment horizontal="center" vertical="center"/>
    </xf>
    <xf numFmtId="2" fontId="53" fillId="0" borderId="1" xfId="0" applyNumberFormat="1" applyFont="1" applyBorder="1" applyAlignment="1">
      <alignment horizontal="center" vertical="center"/>
    </xf>
    <xf numFmtId="0" fontId="53" fillId="0" borderId="3" xfId="0" applyFont="1" applyBorder="1" applyAlignment="1">
      <alignment horizontal="center" vertical="center"/>
    </xf>
    <xf numFmtId="169" fontId="53" fillId="0" borderId="1" xfId="0" applyNumberFormat="1" applyFont="1" applyBorder="1" applyAlignment="1">
      <alignment horizontal="center" vertical="center"/>
    </xf>
    <xf numFmtId="166" fontId="53" fillId="0" borderId="1" xfId="5" applyNumberFormat="1" applyFont="1" applyFill="1" applyBorder="1" applyAlignment="1">
      <alignment horizontal="center" vertical="center"/>
    </xf>
    <xf numFmtId="165" fontId="53" fillId="0" borderId="1" xfId="0" applyNumberFormat="1" applyFont="1" applyBorder="1" applyAlignment="1">
      <alignment horizontal="center" vertical="center"/>
    </xf>
    <xf numFmtId="0" fontId="53" fillId="0" borderId="1" xfId="0" applyFont="1" applyBorder="1" applyAlignment="1">
      <alignment horizontal="center" vertical="center" wrapText="1"/>
    </xf>
    <xf numFmtId="0" fontId="53" fillId="0" borderId="4" xfId="0" applyFont="1" applyBorder="1" applyAlignment="1">
      <alignment horizontal="center" vertical="center"/>
    </xf>
    <xf numFmtId="166" fontId="53" fillId="0" borderId="1" xfId="5" applyNumberFormat="1" applyFont="1" applyBorder="1" applyAlignment="1">
      <alignment horizontal="center" vertical="center"/>
    </xf>
    <xf numFmtId="0" fontId="53" fillId="2" borderId="4" xfId="0" applyFont="1" applyFill="1" applyBorder="1" applyAlignment="1">
      <alignment horizontal="center" vertical="center"/>
    </xf>
    <xf numFmtId="0" fontId="53" fillId="0" borderId="2" xfId="0" applyFont="1" applyBorder="1" applyAlignment="1">
      <alignment horizontal="center" vertical="center"/>
    </xf>
    <xf numFmtId="0" fontId="53" fillId="2" borderId="1" xfId="0" applyFont="1" applyFill="1" applyBorder="1" applyAlignment="1">
      <alignment horizontal="center" vertical="center"/>
    </xf>
    <xf numFmtId="169" fontId="53" fillId="0" borderId="1" xfId="1" applyNumberFormat="1" applyFont="1" applyFill="1" applyBorder="1" applyAlignment="1">
      <alignment horizontal="center" vertical="center"/>
    </xf>
    <xf numFmtId="166" fontId="54" fillId="0" borderId="1" xfId="5" applyNumberFormat="1" applyFont="1" applyFill="1" applyBorder="1" applyAlignment="1">
      <alignment horizontal="center" vertical="center"/>
    </xf>
    <xf numFmtId="0" fontId="54" fillId="0" borderId="1" xfId="0" applyFont="1" applyBorder="1" applyAlignment="1">
      <alignment horizontal="center" vertical="center"/>
    </xf>
    <xf numFmtId="0" fontId="53" fillId="0" borderId="1" xfId="1" applyNumberFormat="1" applyFont="1" applyFill="1" applyBorder="1" applyAlignment="1">
      <alignment horizontal="center" vertical="center"/>
    </xf>
    <xf numFmtId="166" fontId="54" fillId="0" borderId="1" xfId="0" applyNumberFormat="1" applyFont="1" applyBorder="1" applyAlignment="1">
      <alignment horizontal="center" vertical="center"/>
    </xf>
    <xf numFmtId="1" fontId="12" fillId="5" borderId="16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0" fontId="35" fillId="0" borderId="0" xfId="0" applyFont="1" applyAlignment="1" applyProtection="1">
      <alignment horizontal="center" vertical="center"/>
      <protection locked="0"/>
    </xf>
    <xf numFmtId="2" fontId="0" fillId="0" borderId="0" xfId="0" applyNumberFormat="1" applyProtection="1">
      <protection locked="0"/>
    </xf>
    <xf numFmtId="8" fontId="0" fillId="0" borderId="0" xfId="5" applyNumberFormat="1" applyFont="1"/>
    <xf numFmtId="0" fontId="18" fillId="0" borderId="0" xfId="0" applyFont="1" applyAlignment="1">
      <alignment horizontal="center" vertical="center"/>
    </xf>
    <xf numFmtId="2" fontId="34" fillId="10" borderId="0" xfId="0" applyNumberFormat="1" applyFont="1" applyFill="1" applyAlignment="1">
      <alignment horizontal="center" vertical="center"/>
    </xf>
    <xf numFmtId="2" fontId="34" fillId="4" borderId="0" xfId="2" applyNumberFormat="1" applyFont="1" applyFill="1" applyAlignment="1">
      <alignment horizontal="center" vertical="center"/>
    </xf>
    <xf numFmtId="2" fontId="34" fillId="8" borderId="0" xfId="0" applyNumberFormat="1" applyFont="1" applyFill="1" applyAlignment="1">
      <alignment horizontal="center" vertical="center"/>
    </xf>
    <xf numFmtId="1" fontId="3" fillId="0" borderId="5" xfId="0" applyNumberFormat="1" applyFont="1" applyBorder="1" applyAlignment="1" applyProtection="1">
      <alignment horizontal="center" vertical="center"/>
      <protection locked="0"/>
    </xf>
    <xf numFmtId="1" fontId="3" fillId="0" borderId="44" xfId="0" applyNumberFormat="1" applyFont="1" applyBorder="1" applyAlignment="1" applyProtection="1">
      <alignment horizontal="center" vertical="center"/>
      <protection locked="0"/>
    </xf>
    <xf numFmtId="1" fontId="3" fillId="0" borderId="4" xfId="0" applyNumberFormat="1" applyFont="1" applyBorder="1" applyAlignment="1" applyProtection="1">
      <alignment horizontal="center" vertical="center"/>
      <protection locked="0"/>
    </xf>
    <xf numFmtId="0" fontId="3" fillId="4" borderId="5" xfId="0" applyFont="1" applyFill="1" applyBorder="1" applyAlignment="1">
      <alignment horizontal="center" vertical="center"/>
    </xf>
    <xf numFmtId="0" fontId="3" fillId="4" borderId="4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11" fillId="4" borderId="16" xfId="0" applyFont="1" applyFill="1" applyBorder="1" applyAlignment="1" applyProtection="1">
      <alignment horizontal="center" vertical="center" textRotation="255"/>
      <protection locked="0"/>
    </xf>
    <xf numFmtId="0" fontId="11" fillId="4" borderId="17" xfId="0" applyFont="1" applyFill="1" applyBorder="1" applyAlignment="1" applyProtection="1">
      <alignment horizontal="center" vertical="center" textRotation="255"/>
      <protection locked="0"/>
    </xf>
    <xf numFmtId="0" fontId="19" fillId="5" borderId="29" xfId="0" applyFont="1" applyFill="1" applyBorder="1" applyAlignment="1" applyProtection="1">
      <alignment horizontal="center" vertical="center" wrapText="1"/>
      <protection locked="0"/>
    </xf>
    <xf numFmtId="0" fontId="19" fillId="5" borderId="28" xfId="0" applyFont="1" applyFill="1" applyBorder="1" applyAlignment="1" applyProtection="1">
      <alignment horizontal="center" vertical="center" wrapText="1"/>
      <protection locked="0"/>
    </xf>
    <xf numFmtId="0" fontId="19" fillId="5" borderId="26" xfId="0" applyFont="1" applyFill="1" applyBorder="1" applyAlignment="1" applyProtection="1">
      <alignment horizontal="center" vertical="center" wrapText="1"/>
      <protection locked="0"/>
    </xf>
    <xf numFmtId="14" fontId="18" fillId="4" borderId="5" xfId="0" applyNumberFormat="1" applyFont="1" applyFill="1" applyBorder="1" applyAlignment="1" applyProtection="1">
      <alignment horizontal="center" vertical="center" wrapText="1"/>
      <protection locked="0"/>
    </xf>
    <xf numFmtId="14" fontId="18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19" fillId="5" borderId="28" xfId="0" applyFont="1" applyFill="1" applyBorder="1" applyAlignment="1" applyProtection="1">
      <alignment horizontal="center" vertical="center"/>
      <protection locked="0"/>
    </xf>
    <xf numFmtId="0" fontId="19" fillId="5" borderId="26" xfId="0" applyFont="1" applyFill="1" applyBorder="1" applyAlignment="1" applyProtection="1">
      <alignment horizontal="center" vertical="center"/>
      <protection locked="0"/>
    </xf>
    <xf numFmtId="0" fontId="19" fillId="5" borderId="29" xfId="0" applyFont="1" applyFill="1" applyBorder="1" applyAlignment="1" applyProtection="1">
      <alignment horizontal="center" vertical="center"/>
      <protection locked="0"/>
    </xf>
    <xf numFmtId="0" fontId="7" fillId="3" borderId="16" xfId="0" applyFont="1" applyFill="1" applyBorder="1" applyAlignment="1" applyProtection="1">
      <alignment horizontal="center" vertical="center" wrapText="1"/>
      <protection locked="0"/>
    </xf>
    <xf numFmtId="0" fontId="7" fillId="3" borderId="17" xfId="0" applyFont="1" applyFill="1" applyBorder="1" applyAlignment="1" applyProtection="1">
      <alignment horizontal="center" vertical="center" wrapText="1"/>
      <protection locked="0"/>
    </xf>
    <xf numFmtId="0" fontId="11" fillId="4" borderId="5" xfId="0" applyFont="1" applyFill="1" applyBorder="1" applyAlignment="1" applyProtection="1">
      <alignment horizontal="center" vertical="center" textRotation="255"/>
      <protection locked="0"/>
    </xf>
    <xf numFmtId="0" fontId="11" fillId="4" borderId="4" xfId="0" applyFont="1" applyFill="1" applyBorder="1" applyAlignment="1" applyProtection="1">
      <alignment horizontal="center" vertical="center" textRotation="255"/>
      <protection locked="0"/>
    </xf>
    <xf numFmtId="0" fontId="11" fillId="4" borderId="31" xfId="0" applyFont="1" applyFill="1" applyBorder="1" applyAlignment="1" applyProtection="1">
      <alignment horizontal="center" vertical="center" textRotation="255"/>
      <protection locked="0"/>
    </xf>
    <xf numFmtId="0" fontId="11" fillId="4" borderId="23" xfId="0" applyFont="1" applyFill="1" applyBorder="1" applyAlignment="1" applyProtection="1">
      <alignment horizontal="center" vertical="center" textRotation="255"/>
      <protection locked="0"/>
    </xf>
    <xf numFmtId="0" fontId="11" fillId="4" borderId="18" xfId="0" applyFont="1" applyFill="1" applyBorder="1" applyAlignment="1" applyProtection="1">
      <alignment horizontal="center" vertical="center" textRotation="255"/>
      <protection locked="0"/>
    </xf>
    <xf numFmtId="0" fontId="19" fillId="6" borderId="29" xfId="0" applyFont="1" applyFill="1" applyBorder="1" applyAlignment="1" applyProtection="1">
      <alignment horizontal="center" vertical="center" wrapText="1"/>
      <protection locked="0"/>
    </xf>
    <xf numFmtId="0" fontId="19" fillId="6" borderId="28" xfId="0" applyFont="1" applyFill="1" applyBorder="1" applyAlignment="1" applyProtection="1">
      <alignment horizontal="center" vertical="center" wrapText="1"/>
      <protection locked="0"/>
    </xf>
    <xf numFmtId="0" fontId="19" fillId="6" borderId="26" xfId="0" applyFont="1" applyFill="1" applyBorder="1" applyAlignment="1" applyProtection="1">
      <alignment horizontal="center" vertical="center" wrapText="1"/>
      <protection locked="0"/>
    </xf>
    <xf numFmtId="0" fontId="19" fillId="6" borderId="27" xfId="0" applyFont="1" applyFill="1" applyBorder="1" applyAlignment="1" applyProtection="1">
      <alignment horizontal="center" vertical="center" wrapText="1"/>
      <protection locked="0"/>
    </xf>
    <xf numFmtId="0" fontId="11" fillId="4" borderId="19" xfId="0" applyFont="1" applyFill="1" applyBorder="1" applyAlignment="1" applyProtection="1">
      <alignment horizontal="center" vertical="center" textRotation="255"/>
      <protection locked="0"/>
    </xf>
    <xf numFmtId="0" fontId="11" fillId="4" borderId="15" xfId="0" applyFont="1" applyFill="1" applyBorder="1" applyAlignment="1" applyProtection="1">
      <alignment horizontal="center" vertical="center" textRotation="255"/>
      <protection locked="0"/>
    </xf>
    <xf numFmtId="0" fontId="11" fillId="5" borderId="31" xfId="0" applyFont="1" applyFill="1" applyBorder="1" applyAlignment="1">
      <alignment horizontal="center" vertical="center" wrapText="1"/>
    </xf>
    <xf numFmtId="0" fontId="19" fillId="5" borderId="36" xfId="0" applyFont="1" applyFill="1" applyBorder="1" applyAlignment="1">
      <alignment horizontal="center" vertical="center" wrapText="1"/>
    </xf>
    <xf numFmtId="0" fontId="27" fillId="5" borderId="29" xfId="0" applyFont="1" applyFill="1" applyBorder="1" applyAlignment="1">
      <alignment horizontal="center" vertical="center" wrapText="1"/>
    </xf>
    <xf numFmtId="0" fontId="19" fillId="5" borderId="26" xfId="0" applyFont="1" applyFill="1" applyBorder="1" applyAlignment="1">
      <alignment horizontal="center" vertical="center" wrapText="1"/>
    </xf>
    <xf numFmtId="0" fontId="11" fillId="6" borderId="50" xfId="0" applyFont="1" applyFill="1" applyBorder="1" applyAlignment="1">
      <alignment horizontal="center" vertical="center"/>
    </xf>
    <xf numFmtId="0" fontId="11" fillId="6" borderId="48" xfId="0" applyFont="1" applyFill="1" applyBorder="1" applyAlignment="1">
      <alignment horizontal="center" vertical="center"/>
    </xf>
    <xf numFmtId="0" fontId="26" fillId="0" borderId="40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19" fillId="5" borderId="29" xfId="0" applyFont="1" applyFill="1" applyBorder="1" applyAlignment="1">
      <alignment horizontal="center" wrapText="1"/>
    </xf>
    <xf numFmtId="0" fontId="19" fillId="5" borderId="26" xfId="0" applyFont="1" applyFill="1" applyBorder="1" applyAlignment="1">
      <alignment horizontal="center" wrapText="1"/>
    </xf>
    <xf numFmtId="0" fontId="11" fillId="5" borderId="32" xfId="0" applyFont="1" applyFill="1" applyBorder="1" applyAlignment="1">
      <alignment horizontal="center" vertical="center"/>
    </xf>
    <xf numFmtId="0" fontId="19" fillId="5" borderId="30" xfId="0" applyFont="1" applyFill="1" applyBorder="1" applyAlignment="1">
      <alignment horizontal="center" vertical="center"/>
    </xf>
    <xf numFmtId="0" fontId="27" fillId="6" borderId="29" xfId="0" applyFont="1" applyFill="1" applyBorder="1" applyAlignment="1">
      <alignment horizontal="center" vertical="center" wrapText="1"/>
    </xf>
    <xf numFmtId="0" fontId="27" fillId="6" borderId="28" xfId="0" applyFont="1" applyFill="1" applyBorder="1" applyAlignment="1">
      <alignment horizontal="center" vertical="center" wrapText="1"/>
    </xf>
    <xf numFmtId="0" fontId="27" fillId="6" borderId="26" xfId="0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vertical="center" wrapText="1"/>
    </xf>
    <xf numFmtId="0" fontId="27" fillId="5" borderId="25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26" fillId="0" borderId="39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26" fillId="0" borderId="41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26" fillId="0" borderId="45" xfId="0" applyFont="1" applyBorder="1" applyAlignment="1">
      <alignment horizontal="center" vertical="center" wrapText="1"/>
    </xf>
    <xf numFmtId="0" fontId="26" fillId="0" borderId="47" xfId="0" applyFont="1" applyBorder="1" applyAlignment="1">
      <alignment horizontal="center" vertical="center" wrapText="1"/>
    </xf>
    <xf numFmtId="0" fontId="26" fillId="0" borderId="46" xfId="0" applyFont="1" applyBorder="1" applyAlignment="1">
      <alignment horizontal="center" vertical="center" wrapText="1"/>
    </xf>
    <xf numFmtId="0" fontId="27" fillId="6" borderId="15" xfId="0" applyFont="1" applyFill="1" applyBorder="1" applyAlignment="1">
      <alignment horizontal="center"/>
    </xf>
    <xf numFmtId="0" fontId="19" fillId="6" borderId="39" xfId="0" applyFont="1" applyFill="1" applyBorder="1" applyAlignment="1">
      <alignment horizontal="center"/>
    </xf>
    <xf numFmtId="0" fontId="19" fillId="6" borderId="25" xfId="0" applyFont="1" applyFill="1" applyBorder="1" applyAlignment="1">
      <alignment horizontal="center"/>
    </xf>
    <xf numFmtId="0" fontId="26" fillId="0" borderId="8" xfId="0" applyFont="1" applyBorder="1" applyAlignment="1">
      <alignment horizontal="center"/>
    </xf>
    <xf numFmtId="0" fontId="26" fillId="0" borderId="7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11" fillId="6" borderId="32" xfId="0" applyFont="1" applyFill="1" applyBorder="1" applyAlignment="1">
      <alignment horizontal="center" vertical="center" wrapText="1"/>
    </xf>
    <xf numFmtId="0" fontId="19" fillId="6" borderId="30" xfId="0" applyFont="1" applyFill="1" applyBorder="1" applyAlignment="1">
      <alignment horizontal="center" vertical="center" wrapText="1"/>
    </xf>
    <xf numFmtId="0" fontId="26" fillId="0" borderId="42" xfId="0" applyFont="1" applyBorder="1" applyAlignment="1">
      <alignment horizontal="center"/>
    </xf>
    <xf numFmtId="0" fontId="26" fillId="0" borderId="43" xfId="0" applyFont="1" applyBorder="1" applyAlignment="1">
      <alignment horizontal="center"/>
    </xf>
    <xf numFmtId="0" fontId="26" fillId="0" borderId="6" xfId="0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25" fillId="3" borderId="0" xfId="0" applyFont="1" applyFill="1" applyAlignment="1">
      <alignment horizontal="center"/>
    </xf>
    <xf numFmtId="0" fontId="19" fillId="5" borderId="32" xfId="0" applyFont="1" applyFill="1" applyBorder="1" applyAlignment="1">
      <alignment horizontal="center" vertical="center" wrapText="1"/>
    </xf>
    <xf numFmtId="0" fontId="19" fillId="5" borderId="30" xfId="0" applyFont="1" applyFill="1" applyBorder="1" applyAlignment="1">
      <alignment horizontal="center" vertical="center" wrapText="1"/>
    </xf>
    <xf numFmtId="0" fontId="11" fillId="5" borderId="29" xfId="0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0" fontId="26" fillId="0" borderId="33" xfId="0" applyFont="1" applyBorder="1" applyAlignment="1">
      <alignment horizontal="center"/>
    </xf>
    <xf numFmtId="0" fontId="26" fillId="0" borderId="34" xfId="0" applyFont="1" applyBorder="1" applyAlignment="1">
      <alignment horizontal="center"/>
    </xf>
    <xf numFmtId="0" fontId="26" fillId="0" borderId="10" xfId="0" applyFont="1" applyBorder="1" applyAlignment="1">
      <alignment horizontal="center"/>
    </xf>
    <xf numFmtId="0" fontId="26" fillId="0" borderId="9" xfId="0" applyFont="1" applyBorder="1" applyAlignment="1">
      <alignment horizontal="center"/>
    </xf>
    <xf numFmtId="0" fontId="26" fillId="0" borderId="35" xfId="0" applyFont="1" applyBorder="1" applyAlignment="1">
      <alignment horizontal="center"/>
    </xf>
    <xf numFmtId="0" fontId="11" fillId="5" borderId="32" xfId="0" applyFont="1" applyFill="1" applyBorder="1" applyAlignment="1">
      <alignment horizontal="center" vertical="center" wrapText="1"/>
    </xf>
    <xf numFmtId="0" fontId="27" fillId="5" borderId="32" xfId="0" applyFont="1" applyFill="1" applyBorder="1" applyAlignment="1">
      <alignment horizontal="center" vertical="center" wrapText="1"/>
    </xf>
    <xf numFmtId="1" fontId="32" fillId="0" borderId="16" xfId="0" applyNumberFormat="1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4" fontId="30" fillId="9" borderId="0" xfId="0" applyNumberFormat="1" applyFont="1" applyFill="1" applyAlignment="1">
      <alignment horizontal="center" vertical="center"/>
    </xf>
    <xf numFmtId="0" fontId="31" fillId="8" borderId="0" xfId="0" applyFont="1" applyFill="1" applyAlignment="1">
      <alignment horizontal="center" vertical="center" wrapText="1"/>
    </xf>
    <xf numFmtId="1" fontId="32" fillId="0" borderId="18" xfId="0" applyNumberFormat="1" applyFont="1" applyBorder="1" applyAlignment="1">
      <alignment horizontal="center" vertical="center"/>
    </xf>
    <xf numFmtId="0" fontId="31" fillId="4" borderId="0" xfId="0" applyFont="1" applyFill="1" applyAlignment="1">
      <alignment horizontal="center" vertical="center" wrapText="1"/>
    </xf>
    <xf numFmtId="1" fontId="18" fillId="0" borderId="16" xfId="0" applyNumberFormat="1" applyFont="1" applyBorder="1" applyAlignment="1">
      <alignment horizontal="center" vertical="center"/>
    </xf>
    <xf numFmtId="1" fontId="18" fillId="0" borderId="18" xfId="0" applyNumberFormat="1" applyFont="1" applyBorder="1" applyAlignment="1">
      <alignment horizontal="center" vertical="center"/>
    </xf>
    <xf numFmtId="0" fontId="7" fillId="10" borderId="0" xfId="0" applyFont="1" applyFill="1" applyAlignment="1">
      <alignment horizontal="center" vertical="center" wrapText="1"/>
    </xf>
    <xf numFmtId="14" fontId="30" fillId="9" borderId="47" xfId="0" applyNumberFormat="1" applyFont="1" applyFill="1" applyBorder="1" applyAlignment="1">
      <alignment horizontal="center" vertical="center"/>
    </xf>
    <xf numFmtId="0" fontId="31" fillId="8" borderId="39" xfId="0" applyFont="1" applyFill="1" applyBorder="1" applyAlignment="1">
      <alignment horizontal="center" vertical="center" wrapText="1"/>
    </xf>
    <xf numFmtId="0" fontId="31" fillId="8" borderId="47" xfId="0" applyFont="1" applyFill="1" applyBorder="1" applyAlignment="1">
      <alignment horizontal="center" vertical="center" wrapText="1"/>
    </xf>
  </cellXfs>
  <cellStyles count="47">
    <cellStyle name="20% - Accent1" xfId="24" builtinId="30" customBuiltin="1"/>
    <cellStyle name="20% - Accent2" xfId="28" builtinId="34" customBuiltin="1"/>
    <cellStyle name="20% - Accent3" xfId="32" builtinId="38" customBuiltin="1"/>
    <cellStyle name="20% - Accent4" xfId="36" builtinId="42" customBuiltin="1"/>
    <cellStyle name="20% - Accent5" xfId="40" builtinId="46" customBuiltin="1"/>
    <cellStyle name="20% - Accent6" xfId="44" builtinId="50" customBuiltin="1"/>
    <cellStyle name="40% - Accent1" xfId="25" builtinId="31" customBuiltin="1"/>
    <cellStyle name="40% - Accent2" xfId="29" builtinId="35" customBuiltin="1"/>
    <cellStyle name="40% - Accent3" xfId="33" builtinId="39" customBuiltin="1"/>
    <cellStyle name="40% - Accent4" xfId="37" builtinId="43" customBuiltin="1"/>
    <cellStyle name="40% - Accent5" xfId="41" builtinId="47" customBuiltin="1"/>
    <cellStyle name="40% - Accent6" xfId="45" builtinId="51" customBuiltin="1"/>
    <cellStyle name="60% - Accent1" xfId="26" builtinId="32" customBuiltin="1"/>
    <cellStyle name="60% - Accent2" xfId="30" builtinId="36" customBuiltin="1"/>
    <cellStyle name="60% - Accent3" xfId="34" builtinId="40" customBuiltin="1"/>
    <cellStyle name="60% - Accent4" xfId="38" builtinId="44" customBuiltin="1"/>
    <cellStyle name="60% - Accent5" xfId="42" builtinId="48" customBuiltin="1"/>
    <cellStyle name="60% - Accent6" xfId="46" builtinId="52" customBuiltin="1"/>
    <cellStyle name="Accent1" xfId="23" builtinId="29" customBuiltin="1"/>
    <cellStyle name="Accent2" xfId="27" builtinId="33" customBuiltin="1"/>
    <cellStyle name="Accent3" xfId="31" builtinId="37" customBuiltin="1"/>
    <cellStyle name="Accent4" xfId="35" builtinId="41" customBuiltin="1"/>
    <cellStyle name="Accent5" xfId="39" builtinId="45" customBuiltin="1"/>
    <cellStyle name="Accent6" xfId="43" builtinId="49" customBuiltin="1"/>
    <cellStyle name="Bad" xfId="12" builtinId="27" customBuiltin="1"/>
    <cellStyle name="Calculation" xfId="16" builtinId="22" customBuiltin="1"/>
    <cellStyle name="Check Cell" xfId="18" builtinId="23" customBuiltin="1"/>
    <cellStyle name="Comma 2" xfId="3" xr:uid="{78FF64DE-AF32-4113-B9BD-EF5404212441}"/>
    <cellStyle name="Currency" xfId="5" builtinId="4"/>
    <cellStyle name="Currency 2" xfId="1" xr:uid="{66D45827-E093-4B60-87FA-A0A34D50F4F8}"/>
    <cellStyle name="Explanatory Text" xfId="21" builtinId="53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14" builtinId="20" customBuiltin="1"/>
    <cellStyle name="Linked Cell" xfId="17" builtinId="24" customBuiltin="1"/>
    <cellStyle name="Neutral" xfId="13" builtinId="28" customBuiltin="1"/>
    <cellStyle name="Normal" xfId="0" builtinId="0"/>
    <cellStyle name="Note" xfId="20" builtinId="10" customBuiltin="1"/>
    <cellStyle name="Output" xfId="15" builtinId="21" customBuiltin="1"/>
    <cellStyle name="Percent" xfId="4" builtinId="5"/>
    <cellStyle name="Percent 2" xfId="2" xr:uid="{56D88F11-4243-497E-BA4A-B18E512B40B2}"/>
    <cellStyle name="Title" xfId="6" builtinId="15" customBuiltin="1"/>
    <cellStyle name="Total" xfId="22" builtinId="25" customBuiltin="1"/>
    <cellStyle name="Warning Text" xfId="19" builtinId="11" customBuiltin="1"/>
  </cellStyles>
  <dxfs count="82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</font>
    </dxf>
    <dxf>
      <font>
        <b/>
        <i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colors>
    <mruColors>
      <color rgb="FFFF0000"/>
      <color rgb="FFFFFF66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5F739-D7F4-4738-877F-9F909B67A8AD}">
  <sheetPr>
    <tabColor rgb="FFFFFF00"/>
  </sheetPr>
  <dimension ref="A1:Q107"/>
  <sheetViews>
    <sheetView workbookViewId="0">
      <selection activeCell="BB133" sqref="BB133"/>
    </sheetView>
  </sheetViews>
  <sheetFormatPr defaultRowHeight="15" x14ac:dyDescent="0.25"/>
  <cols>
    <col min="1" max="1" width="22.28515625" style="340" bestFit="1" customWidth="1"/>
    <col min="2" max="2" width="8.7109375" style="340"/>
    <col min="3" max="3" width="14.28515625" style="340" bestFit="1" customWidth="1"/>
    <col min="4" max="4" width="15.5703125" style="340" customWidth="1"/>
    <col min="5" max="5" width="17.28515625" style="341" bestFit="1" customWidth="1"/>
    <col min="6" max="6" width="10.42578125" style="340" bestFit="1" customWidth="1"/>
    <col min="7" max="7" width="10.42578125" style="340" customWidth="1"/>
    <col min="8" max="8" width="10.42578125" style="340" bestFit="1" customWidth="1"/>
    <col min="9" max="9" width="10.42578125" style="340" customWidth="1"/>
    <col min="10" max="10" width="10.42578125" style="340" bestFit="1" customWidth="1"/>
    <col min="11" max="11" width="10.42578125" style="340" customWidth="1"/>
    <col min="12" max="12" width="10.42578125" style="168" bestFit="1" customWidth="1"/>
    <col min="13" max="16384" width="9.140625" style="168"/>
  </cols>
  <sheetData>
    <row r="1" spans="1:17" x14ac:dyDescent="0.25">
      <c r="A1" s="340" t="s">
        <v>505</v>
      </c>
      <c r="B1" s="340" t="s">
        <v>506</v>
      </c>
      <c r="C1" s="340" t="s">
        <v>621</v>
      </c>
      <c r="D1" s="340" t="s">
        <v>507</v>
      </c>
      <c r="E1" s="341" t="s">
        <v>649</v>
      </c>
      <c r="F1" s="340" t="s">
        <v>509</v>
      </c>
      <c r="H1" s="340" t="s">
        <v>512</v>
      </c>
      <c r="J1" s="340" t="s">
        <v>510</v>
      </c>
      <c r="L1" s="340" t="s">
        <v>511</v>
      </c>
    </row>
    <row r="2" spans="1:17" x14ac:dyDescent="0.25">
      <c r="A2" s="342" t="s">
        <v>308</v>
      </c>
      <c r="B2" s="342" t="s">
        <v>372</v>
      </c>
      <c r="C2" s="339" t="s">
        <v>550</v>
      </c>
      <c r="D2" s="168" t="s">
        <v>786</v>
      </c>
      <c r="E2" s="343" t="s">
        <v>694</v>
      </c>
      <c r="F2" s="168" t="s">
        <v>209</v>
      </c>
      <c r="G2" s="168"/>
      <c r="H2" s="168" t="s">
        <v>209</v>
      </c>
      <c r="I2" s="168"/>
      <c r="J2" s="168" t="s">
        <v>240</v>
      </c>
      <c r="K2" s="168"/>
      <c r="L2" s="168" t="s">
        <v>240</v>
      </c>
    </row>
    <row r="3" spans="1:17" x14ac:dyDescent="0.25">
      <c r="A3" s="342" t="s">
        <v>361</v>
      </c>
      <c r="B3" s="342" t="s">
        <v>373</v>
      </c>
      <c r="C3" s="339" t="s">
        <v>529</v>
      </c>
      <c r="D3" s="168" t="s">
        <v>834</v>
      </c>
      <c r="E3" s="220" t="s">
        <v>695</v>
      </c>
      <c r="F3" s="168" t="s">
        <v>209</v>
      </c>
      <c r="G3" s="168"/>
      <c r="H3" s="168" t="s">
        <v>215</v>
      </c>
      <c r="I3" s="168"/>
      <c r="J3" s="168" t="s">
        <v>240</v>
      </c>
      <c r="K3" s="168"/>
      <c r="L3" s="168" t="s">
        <v>240</v>
      </c>
    </row>
    <row r="4" spans="1:17" x14ac:dyDescent="0.25">
      <c r="A4" s="342" t="s">
        <v>375</v>
      </c>
      <c r="B4" s="342" t="s">
        <v>374</v>
      </c>
      <c r="C4" s="339" t="s">
        <v>422</v>
      </c>
      <c r="D4" s="168" t="s">
        <v>688</v>
      </c>
      <c r="E4" s="220" t="s">
        <v>696</v>
      </c>
      <c r="F4" s="168" t="s">
        <v>215</v>
      </c>
      <c r="G4" s="168"/>
      <c r="H4" s="168" t="s">
        <v>218</v>
      </c>
      <c r="I4" s="168"/>
      <c r="J4" s="168" t="s">
        <v>240</v>
      </c>
      <c r="K4" s="168"/>
      <c r="L4" s="168" t="s">
        <v>240</v>
      </c>
      <c r="Q4" s="343"/>
    </row>
    <row r="5" spans="1:17" x14ac:dyDescent="0.25">
      <c r="A5" s="342" t="s">
        <v>296</v>
      </c>
      <c r="B5" s="342" t="s">
        <v>376</v>
      </c>
      <c r="C5" s="339" t="s">
        <v>530</v>
      </c>
      <c r="D5" s="168" t="s">
        <v>835</v>
      </c>
      <c r="E5" s="220" t="s">
        <v>697</v>
      </c>
      <c r="F5" s="168" t="s">
        <v>215</v>
      </c>
      <c r="G5" s="168"/>
      <c r="H5" s="168" t="s">
        <v>215</v>
      </c>
      <c r="I5" s="168"/>
      <c r="J5" s="168" t="s">
        <v>240</v>
      </c>
      <c r="K5" s="168"/>
      <c r="L5" s="168" t="s">
        <v>240</v>
      </c>
      <c r="Q5" s="220"/>
    </row>
    <row r="6" spans="1:17" x14ac:dyDescent="0.25">
      <c r="A6" s="342" t="s">
        <v>343</v>
      </c>
      <c r="B6" s="342" t="s">
        <v>377</v>
      </c>
      <c r="C6" s="339" t="s">
        <v>573</v>
      </c>
      <c r="D6" s="168" t="s">
        <v>836</v>
      </c>
      <c r="E6" s="220" t="s">
        <v>698</v>
      </c>
      <c r="F6" s="168" t="s">
        <v>215</v>
      </c>
      <c r="G6" s="168"/>
      <c r="H6" s="168" t="s">
        <v>215</v>
      </c>
      <c r="I6" s="168"/>
      <c r="J6" s="168" t="s">
        <v>240</v>
      </c>
      <c r="K6" s="168"/>
      <c r="L6" s="168" t="s">
        <v>240</v>
      </c>
      <c r="Q6" s="220"/>
    </row>
    <row r="7" spans="1:17" x14ac:dyDescent="0.25">
      <c r="A7" s="342" t="s">
        <v>344</v>
      </c>
      <c r="B7" s="342" t="s">
        <v>378</v>
      </c>
      <c r="C7" s="339" t="s">
        <v>551</v>
      </c>
      <c r="D7" s="168" t="s">
        <v>787</v>
      </c>
      <c r="E7" s="220" t="s">
        <v>699</v>
      </c>
      <c r="F7" s="168" t="s">
        <v>209</v>
      </c>
      <c r="G7" s="168"/>
      <c r="H7" s="168" t="s">
        <v>209</v>
      </c>
      <c r="I7" s="168"/>
      <c r="J7" s="168" t="s">
        <v>240</v>
      </c>
      <c r="K7" s="168"/>
      <c r="L7" s="168" t="s">
        <v>240</v>
      </c>
      <c r="Q7" s="220"/>
    </row>
    <row r="8" spans="1:17" x14ac:dyDescent="0.25">
      <c r="A8" s="342" t="s">
        <v>337</v>
      </c>
      <c r="B8" s="342" t="s">
        <v>380</v>
      </c>
      <c r="C8" s="339" t="s">
        <v>574</v>
      </c>
      <c r="D8" s="168" t="s">
        <v>685</v>
      </c>
      <c r="E8" s="220" t="s">
        <v>667</v>
      </c>
      <c r="F8" s="168" t="s">
        <v>209</v>
      </c>
      <c r="G8" s="168"/>
      <c r="H8" s="168" t="s">
        <v>209</v>
      </c>
      <c r="I8" s="168"/>
      <c r="J8" s="168" t="s">
        <v>240</v>
      </c>
      <c r="K8" s="168"/>
      <c r="L8" s="168" t="s">
        <v>240</v>
      </c>
      <c r="Q8" s="220"/>
    </row>
    <row r="9" spans="1:17" x14ac:dyDescent="0.25">
      <c r="A9" s="342" t="s">
        <v>383</v>
      </c>
      <c r="B9" s="342" t="s">
        <v>382</v>
      </c>
      <c r="C9" s="339" t="s">
        <v>575</v>
      </c>
      <c r="D9" s="168" t="s">
        <v>788</v>
      </c>
      <c r="E9" s="220" t="s">
        <v>700</v>
      </c>
      <c r="F9" s="168" t="s">
        <v>218</v>
      </c>
      <c r="G9" s="168"/>
      <c r="H9" s="168" t="s">
        <v>218</v>
      </c>
      <c r="I9" s="168"/>
      <c r="J9" s="168" t="s">
        <v>240</v>
      </c>
      <c r="K9" s="168"/>
      <c r="L9" s="168" t="s">
        <v>240</v>
      </c>
      <c r="Q9" s="220"/>
    </row>
    <row r="10" spans="1:17" x14ac:dyDescent="0.25">
      <c r="A10" s="342" t="s">
        <v>385</v>
      </c>
      <c r="B10" s="342" t="s">
        <v>384</v>
      </c>
      <c r="C10" s="339" t="s">
        <v>570</v>
      </c>
      <c r="D10" s="168" t="s">
        <v>789</v>
      </c>
      <c r="E10" s="220" t="s">
        <v>701</v>
      </c>
      <c r="F10" s="168" t="s">
        <v>231</v>
      </c>
      <c r="G10" s="168"/>
      <c r="H10" s="168" t="s">
        <v>231</v>
      </c>
      <c r="I10" s="168"/>
      <c r="J10" s="168" t="s">
        <v>240</v>
      </c>
      <c r="K10" s="168"/>
      <c r="L10" s="168" t="s">
        <v>240</v>
      </c>
      <c r="Q10" s="220"/>
    </row>
    <row r="11" spans="1:17" x14ac:dyDescent="0.25">
      <c r="A11" s="342" t="s">
        <v>387</v>
      </c>
      <c r="B11" s="342" t="s">
        <v>386</v>
      </c>
      <c r="C11" s="339" t="s">
        <v>546</v>
      </c>
      <c r="D11" s="168" t="s">
        <v>679</v>
      </c>
      <c r="E11" s="220" t="s">
        <v>702</v>
      </c>
      <c r="F11" s="168" t="s">
        <v>218</v>
      </c>
      <c r="G11" s="168"/>
      <c r="H11" s="168" t="s">
        <v>209</v>
      </c>
      <c r="I11" s="168"/>
      <c r="J11" s="168" t="s">
        <v>240</v>
      </c>
      <c r="K11" s="168"/>
      <c r="L11" s="168" t="s">
        <v>240</v>
      </c>
      <c r="Q11" s="220"/>
    </row>
    <row r="12" spans="1:17" x14ac:dyDescent="0.25">
      <c r="A12" s="342" t="s">
        <v>334</v>
      </c>
      <c r="B12" s="342" t="s">
        <v>388</v>
      </c>
      <c r="C12" s="339" t="s">
        <v>576</v>
      </c>
      <c r="D12" s="168" t="s">
        <v>395</v>
      </c>
      <c r="E12" s="220" t="s">
        <v>703</v>
      </c>
      <c r="F12" s="168" t="s">
        <v>215</v>
      </c>
      <c r="G12" s="168"/>
      <c r="H12" s="168" t="s">
        <v>215</v>
      </c>
      <c r="I12" s="168"/>
      <c r="J12" s="168" t="s">
        <v>240</v>
      </c>
      <c r="K12" s="168"/>
      <c r="L12" s="168" t="s">
        <v>240</v>
      </c>
      <c r="Q12" s="220"/>
    </row>
    <row r="13" spans="1:17" x14ac:dyDescent="0.25">
      <c r="A13" s="342" t="s">
        <v>345</v>
      </c>
      <c r="B13" s="342" t="s">
        <v>390</v>
      </c>
      <c r="C13" s="339" t="s">
        <v>577</v>
      </c>
      <c r="D13" s="168" t="s">
        <v>790</v>
      </c>
      <c r="E13" s="220" t="s">
        <v>704</v>
      </c>
      <c r="F13" s="168" t="s">
        <v>209</v>
      </c>
      <c r="G13" s="168"/>
      <c r="H13" s="168" t="s">
        <v>215</v>
      </c>
      <c r="I13" s="168"/>
      <c r="J13" s="168" t="s">
        <v>240</v>
      </c>
      <c r="K13" s="168"/>
      <c r="L13" s="168" t="s">
        <v>240</v>
      </c>
      <c r="Q13" s="220"/>
    </row>
    <row r="14" spans="1:17" x14ac:dyDescent="0.25">
      <c r="A14" s="342" t="s">
        <v>317</v>
      </c>
      <c r="B14" s="342" t="s">
        <v>391</v>
      </c>
      <c r="C14" s="339" t="s">
        <v>469</v>
      </c>
      <c r="D14" s="168" t="s">
        <v>791</v>
      </c>
      <c r="E14" s="220" t="s">
        <v>705</v>
      </c>
      <c r="F14" s="168" t="s">
        <v>209</v>
      </c>
      <c r="G14" s="168"/>
      <c r="H14" s="168" t="s">
        <v>209</v>
      </c>
      <c r="I14" s="168"/>
      <c r="J14" s="168" t="s">
        <v>240</v>
      </c>
      <c r="K14" s="168"/>
      <c r="L14" s="168" t="s">
        <v>240</v>
      </c>
      <c r="Q14" s="220"/>
    </row>
    <row r="15" spans="1:17" x14ac:dyDescent="0.25">
      <c r="A15" s="342" t="s">
        <v>358</v>
      </c>
      <c r="B15" s="342" t="s">
        <v>392</v>
      </c>
      <c r="C15" s="339" t="s">
        <v>578</v>
      </c>
      <c r="D15" s="168" t="s">
        <v>497</v>
      </c>
      <c r="E15" s="220" t="s">
        <v>706</v>
      </c>
      <c r="F15" s="168" t="s">
        <v>215</v>
      </c>
      <c r="G15" s="168"/>
      <c r="H15" s="168" t="s">
        <v>218</v>
      </c>
      <c r="I15" s="168"/>
      <c r="J15" s="168" t="s">
        <v>240</v>
      </c>
      <c r="K15" s="168"/>
      <c r="L15" s="168" t="s">
        <v>240</v>
      </c>
      <c r="Q15" s="220"/>
    </row>
    <row r="16" spans="1:17" x14ac:dyDescent="0.25">
      <c r="A16" s="342" t="s">
        <v>394</v>
      </c>
      <c r="B16" s="342" t="s">
        <v>393</v>
      </c>
      <c r="C16" s="339" t="s">
        <v>552</v>
      </c>
      <c r="D16" s="168" t="s">
        <v>792</v>
      </c>
      <c r="E16" s="220" t="s">
        <v>707</v>
      </c>
      <c r="F16" s="168" t="s">
        <v>231</v>
      </c>
      <c r="G16" s="168"/>
      <c r="H16" s="168" t="s">
        <v>231</v>
      </c>
      <c r="I16" s="168"/>
      <c r="J16" s="168" t="s">
        <v>240</v>
      </c>
      <c r="K16" s="168"/>
      <c r="L16" s="168" t="s">
        <v>240</v>
      </c>
      <c r="Q16" s="220"/>
    </row>
    <row r="17" spans="1:17" x14ac:dyDescent="0.25">
      <c r="A17" s="342" t="s">
        <v>397</v>
      </c>
      <c r="B17" s="342" t="s">
        <v>396</v>
      </c>
      <c r="C17" s="339" t="s">
        <v>540</v>
      </c>
      <c r="D17" s="168" t="s">
        <v>681</v>
      </c>
      <c r="E17" s="220" t="s">
        <v>708</v>
      </c>
      <c r="F17" s="168" t="s">
        <v>209</v>
      </c>
      <c r="G17" s="168"/>
      <c r="H17" s="168" t="s">
        <v>215</v>
      </c>
      <c r="I17" s="168"/>
      <c r="J17" s="168" t="s">
        <v>240</v>
      </c>
      <c r="K17" s="168"/>
      <c r="L17" s="168" t="s">
        <v>240</v>
      </c>
      <c r="Q17" s="220"/>
    </row>
    <row r="18" spans="1:17" x14ac:dyDescent="0.25">
      <c r="A18" s="342" t="s">
        <v>399</v>
      </c>
      <c r="B18" s="342" t="s">
        <v>398</v>
      </c>
      <c r="C18" s="339" t="s">
        <v>553</v>
      </c>
      <c r="D18" s="168" t="s">
        <v>793</v>
      </c>
      <c r="E18" s="220" t="s">
        <v>670</v>
      </c>
      <c r="F18" s="168" t="s">
        <v>231</v>
      </c>
      <c r="G18" s="168"/>
      <c r="H18" s="168" t="s">
        <v>209</v>
      </c>
      <c r="I18" s="168"/>
      <c r="J18" s="168" t="s">
        <v>240</v>
      </c>
      <c r="K18" s="168"/>
      <c r="L18" s="168" t="s">
        <v>240</v>
      </c>
      <c r="Q18" s="220"/>
    </row>
    <row r="19" spans="1:17" x14ac:dyDescent="0.25">
      <c r="A19" s="342" t="s">
        <v>309</v>
      </c>
      <c r="B19" s="342" t="s">
        <v>400</v>
      </c>
      <c r="C19" s="339" t="s">
        <v>579</v>
      </c>
      <c r="D19" s="168" t="s">
        <v>837</v>
      </c>
      <c r="E19" s="220" t="s">
        <v>709</v>
      </c>
      <c r="F19" s="168" t="s">
        <v>209</v>
      </c>
      <c r="G19" s="168"/>
      <c r="H19" s="168" t="s">
        <v>209</v>
      </c>
      <c r="I19" s="168"/>
      <c r="J19" s="168" t="s">
        <v>240</v>
      </c>
      <c r="K19" s="168"/>
      <c r="L19" s="168" t="s">
        <v>240</v>
      </c>
      <c r="Q19" s="220"/>
    </row>
    <row r="20" spans="1:17" x14ac:dyDescent="0.25">
      <c r="A20" s="342" t="s">
        <v>402</v>
      </c>
      <c r="B20" s="342" t="s">
        <v>401</v>
      </c>
      <c r="C20" s="339" t="s">
        <v>453</v>
      </c>
      <c r="D20" s="168" t="s">
        <v>838</v>
      </c>
      <c r="E20" s="220" t="s">
        <v>710</v>
      </c>
      <c r="F20" s="168" t="s">
        <v>209</v>
      </c>
      <c r="G20" s="168"/>
      <c r="H20" s="168" t="s">
        <v>209</v>
      </c>
      <c r="I20" s="168"/>
      <c r="J20" s="168" t="s">
        <v>240</v>
      </c>
      <c r="K20" s="168"/>
      <c r="L20" s="168" t="s">
        <v>240</v>
      </c>
      <c r="Q20" s="220"/>
    </row>
    <row r="21" spans="1:17" x14ac:dyDescent="0.25">
      <c r="A21" s="342" t="s">
        <v>306</v>
      </c>
      <c r="B21" s="342" t="s">
        <v>403</v>
      </c>
      <c r="C21" s="339" t="s">
        <v>554</v>
      </c>
      <c r="D21" s="168" t="s">
        <v>794</v>
      </c>
      <c r="E21" s="220" t="s">
        <v>674</v>
      </c>
      <c r="F21" s="168" t="s">
        <v>209</v>
      </c>
      <c r="G21" s="168"/>
      <c r="H21" s="168" t="s">
        <v>209</v>
      </c>
      <c r="I21" s="168"/>
      <c r="J21" s="168" t="s">
        <v>240</v>
      </c>
      <c r="K21" s="168"/>
      <c r="L21" s="168" t="s">
        <v>240</v>
      </c>
      <c r="Q21" s="220"/>
    </row>
    <row r="22" spans="1:17" x14ac:dyDescent="0.25">
      <c r="A22" s="342" t="s">
        <v>331</v>
      </c>
      <c r="B22" s="342" t="s">
        <v>404</v>
      </c>
      <c r="C22" s="339" t="s">
        <v>555</v>
      </c>
      <c r="D22" s="168" t="s">
        <v>839</v>
      </c>
      <c r="E22" s="220" t="s">
        <v>711</v>
      </c>
      <c r="F22" s="168" t="s">
        <v>209</v>
      </c>
      <c r="G22" s="168"/>
      <c r="H22" s="168" t="s">
        <v>215</v>
      </c>
      <c r="I22" s="168"/>
      <c r="J22" s="168" t="s">
        <v>240</v>
      </c>
      <c r="K22" s="168"/>
      <c r="L22" s="168" t="s">
        <v>240</v>
      </c>
      <c r="Q22" s="220"/>
    </row>
    <row r="23" spans="1:17" x14ac:dyDescent="0.25">
      <c r="A23" s="342" t="s">
        <v>406</v>
      </c>
      <c r="B23" s="342" t="s">
        <v>405</v>
      </c>
      <c r="C23" s="339" t="s">
        <v>580</v>
      </c>
      <c r="D23" s="168" t="s">
        <v>589</v>
      </c>
      <c r="E23" s="220" t="s">
        <v>712</v>
      </c>
      <c r="F23" s="168" t="s">
        <v>218</v>
      </c>
      <c r="G23" s="168"/>
      <c r="H23" s="168" t="s">
        <v>218</v>
      </c>
      <c r="I23" s="168"/>
      <c r="J23" s="168" t="s">
        <v>240</v>
      </c>
      <c r="K23" s="168"/>
      <c r="L23" s="168" t="s">
        <v>240</v>
      </c>
      <c r="Q23" s="220"/>
    </row>
    <row r="24" spans="1:17" x14ac:dyDescent="0.25">
      <c r="A24" s="342" t="s">
        <v>364</v>
      </c>
      <c r="B24" s="342" t="s">
        <v>407</v>
      </c>
      <c r="C24" s="339" t="s">
        <v>581</v>
      </c>
      <c r="D24" s="168" t="s">
        <v>795</v>
      </c>
      <c r="E24" s="220" t="s">
        <v>713</v>
      </c>
      <c r="F24" s="168" t="s">
        <v>209</v>
      </c>
      <c r="G24" s="168"/>
      <c r="H24" s="168" t="s">
        <v>209</v>
      </c>
      <c r="I24" s="168"/>
      <c r="J24" s="168" t="s">
        <v>240</v>
      </c>
      <c r="K24" s="168"/>
      <c r="L24" s="168" t="s">
        <v>240</v>
      </c>
      <c r="Q24" s="220"/>
    </row>
    <row r="25" spans="1:17" x14ac:dyDescent="0.25">
      <c r="A25" s="342" t="s">
        <v>348</v>
      </c>
      <c r="B25" s="342" t="s">
        <v>408</v>
      </c>
      <c r="C25" s="339" t="s">
        <v>556</v>
      </c>
      <c r="D25" s="168" t="s">
        <v>796</v>
      </c>
      <c r="E25" s="220" t="s">
        <v>714</v>
      </c>
      <c r="F25" s="168" t="s">
        <v>231</v>
      </c>
      <c r="G25" s="168"/>
      <c r="H25" s="168" t="s">
        <v>215</v>
      </c>
      <c r="I25" s="168"/>
      <c r="J25" s="168" t="s">
        <v>240</v>
      </c>
      <c r="K25" s="168"/>
      <c r="L25" s="168" t="s">
        <v>240</v>
      </c>
      <c r="Q25" s="220"/>
    </row>
    <row r="26" spans="1:17" x14ac:dyDescent="0.25">
      <c r="A26" s="342" t="s">
        <v>329</v>
      </c>
      <c r="B26" s="342" t="s">
        <v>409</v>
      </c>
      <c r="C26" s="339" t="s">
        <v>523</v>
      </c>
      <c r="D26" s="168" t="s">
        <v>797</v>
      </c>
      <c r="E26" s="220" t="s">
        <v>715</v>
      </c>
      <c r="F26" s="168" t="s">
        <v>215</v>
      </c>
      <c r="G26" s="168"/>
      <c r="H26" s="168" t="s">
        <v>218</v>
      </c>
      <c r="I26" s="168"/>
      <c r="J26" s="168" t="s">
        <v>240</v>
      </c>
      <c r="K26" s="168"/>
      <c r="L26" s="168" t="s">
        <v>240</v>
      </c>
      <c r="Q26" s="220"/>
    </row>
    <row r="27" spans="1:17" x14ac:dyDescent="0.25">
      <c r="A27" s="342" t="s">
        <v>368</v>
      </c>
      <c r="B27" s="342" t="s">
        <v>410</v>
      </c>
      <c r="C27" s="339" t="s">
        <v>582</v>
      </c>
      <c r="D27" s="168" t="s">
        <v>798</v>
      </c>
      <c r="E27" s="220" t="s">
        <v>716</v>
      </c>
      <c r="F27" s="168" t="s">
        <v>215</v>
      </c>
      <c r="G27" s="168"/>
      <c r="H27" s="168" t="s">
        <v>215</v>
      </c>
      <c r="I27" s="168"/>
      <c r="J27" s="168" t="s">
        <v>240</v>
      </c>
      <c r="K27" s="168"/>
      <c r="L27" s="168" t="s">
        <v>240</v>
      </c>
      <c r="Q27" s="220"/>
    </row>
    <row r="28" spans="1:17" x14ac:dyDescent="0.25">
      <c r="A28" s="342" t="s">
        <v>411</v>
      </c>
      <c r="B28" s="342" t="s">
        <v>389</v>
      </c>
      <c r="C28" s="339" t="s">
        <v>583</v>
      </c>
      <c r="D28" s="168" t="s">
        <v>799</v>
      </c>
      <c r="E28" s="220" t="s">
        <v>717</v>
      </c>
      <c r="F28" s="168" t="s">
        <v>209</v>
      </c>
      <c r="G28" s="168"/>
      <c r="H28" s="168" t="s">
        <v>209</v>
      </c>
      <c r="I28" s="168"/>
      <c r="J28" s="168" t="s">
        <v>240</v>
      </c>
      <c r="K28" s="168"/>
      <c r="L28" s="168" t="s">
        <v>240</v>
      </c>
      <c r="Q28" s="220"/>
    </row>
    <row r="29" spans="1:17" x14ac:dyDescent="0.25">
      <c r="A29" s="342" t="s">
        <v>413</v>
      </c>
      <c r="B29" s="342" t="s">
        <v>412</v>
      </c>
      <c r="C29" s="339" t="s">
        <v>584</v>
      </c>
      <c r="D29" s="168" t="s">
        <v>800</v>
      </c>
      <c r="E29" s="220" t="s">
        <v>669</v>
      </c>
      <c r="F29" s="168" t="s">
        <v>231</v>
      </c>
      <c r="G29" s="168"/>
      <c r="H29" s="168" t="s">
        <v>215</v>
      </c>
      <c r="I29" s="168"/>
      <c r="J29" s="168" t="s">
        <v>240</v>
      </c>
      <c r="K29" s="168"/>
      <c r="L29" s="168" t="s">
        <v>240</v>
      </c>
      <c r="Q29" s="220"/>
    </row>
    <row r="30" spans="1:17" x14ac:dyDescent="0.25">
      <c r="A30" s="342" t="s">
        <v>339</v>
      </c>
      <c r="B30" s="342" t="s">
        <v>395</v>
      </c>
      <c r="C30" s="339" t="s">
        <v>558</v>
      </c>
      <c r="D30" s="168" t="s">
        <v>801</v>
      </c>
      <c r="E30" s="220" t="s">
        <v>718</v>
      </c>
      <c r="F30" s="168" t="s">
        <v>231</v>
      </c>
      <c r="G30" s="168"/>
      <c r="H30" s="168" t="s">
        <v>215</v>
      </c>
      <c r="I30" s="168"/>
      <c r="J30" s="168" t="s">
        <v>240</v>
      </c>
      <c r="K30" s="168"/>
      <c r="L30" s="168" t="s">
        <v>240</v>
      </c>
      <c r="Q30" s="220"/>
    </row>
    <row r="31" spans="1:17" x14ac:dyDescent="0.25">
      <c r="A31" s="342" t="s">
        <v>316</v>
      </c>
      <c r="B31" s="342" t="s">
        <v>414</v>
      </c>
      <c r="C31" s="339" t="s">
        <v>536</v>
      </c>
      <c r="D31" s="168" t="s">
        <v>802</v>
      </c>
      <c r="E31" s="220" t="s">
        <v>719</v>
      </c>
      <c r="F31" s="168" t="s">
        <v>215</v>
      </c>
      <c r="G31" s="168"/>
      <c r="H31" s="168" t="s">
        <v>209</v>
      </c>
      <c r="I31" s="168"/>
      <c r="J31" s="168" t="s">
        <v>240</v>
      </c>
      <c r="K31" s="168"/>
      <c r="L31" s="168" t="s">
        <v>240</v>
      </c>
      <c r="Q31" s="220"/>
    </row>
    <row r="32" spans="1:17" x14ac:dyDescent="0.25">
      <c r="A32" s="342" t="s">
        <v>416</v>
      </c>
      <c r="B32" s="342" t="s">
        <v>415</v>
      </c>
      <c r="C32" s="339" t="s">
        <v>531</v>
      </c>
      <c r="D32" s="168" t="s">
        <v>840</v>
      </c>
      <c r="E32" s="220" t="s">
        <v>678</v>
      </c>
      <c r="F32" s="168" t="s">
        <v>209</v>
      </c>
      <c r="G32" s="168"/>
      <c r="H32" s="168" t="s">
        <v>209</v>
      </c>
      <c r="I32" s="168"/>
      <c r="J32" s="168" t="s">
        <v>240</v>
      </c>
      <c r="K32" s="168"/>
      <c r="L32" s="168" t="s">
        <v>240</v>
      </c>
      <c r="Q32" s="220"/>
    </row>
    <row r="33" spans="1:17" x14ac:dyDescent="0.25">
      <c r="A33" s="342" t="s">
        <v>356</v>
      </c>
      <c r="B33" s="342" t="s">
        <v>417</v>
      </c>
      <c r="C33" s="339" t="s">
        <v>585</v>
      </c>
      <c r="D33" s="168" t="s">
        <v>803</v>
      </c>
      <c r="E33" s="220" t="s">
        <v>720</v>
      </c>
      <c r="F33" s="168" t="s">
        <v>209</v>
      </c>
      <c r="G33" s="168"/>
      <c r="H33" s="168" t="s">
        <v>209</v>
      </c>
      <c r="I33" s="168"/>
      <c r="J33" s="168" t="s">
        <v>240</v>
      </c>
      <c r="K33" s="168"/>
      <c r="L33" s="168" t="s">
        <v>240</v>
      </c>
      <c r="Q33" s="220"/>
    </row>
    <row r="34" spans="1:17" x14ac:dyDescent="0.25">
      <c r="A34" s="342" t="s">
        <v>319</v>
      </c>
      <c r="B34" s="342" t="s">
        <v>419</v>
      </c>
      <c r="C34" s="339" t="s">
        <v>559</v>
      </c>
      <c r="D34" s="168" t="s">
        <v>804</v>
      </c>
      <c r="E34" s="220" t="s">
        <v>721</v>
      </c>
      <c r="F34" s="168" t="s">
        <v>215</v>
      </c>
      <c r="G34" s="168"/>
      <c r="H34" s="168" t="s">
        <v>231</v>
      </c>
      <c r="I34" s="168"/>
      <c r="J34" s="168" t="s">
        <v>240</v>
      </c>
      <c r="K34" s="168"/>
      <c r="L34" s="168" t="s">
        <v>240</v>
      </c>
      <c r="Q34" s="220"/>
    </row>
    <row r="35" spans="1:17" x14ac:dyDescent="0.25">
      <c r="A35" s="342" t="s">
        <v>350</v>
      </c>
      <c r="B35" s="342" t="s">
        <v>421</v>
      </c>
      <c r="C35" s="339" t="s">
        <v>532</v>
      </c>
      <c r="D35" s="168" t="s">
        <v>805</v>
      </c>
      <c r="E35" s="220" t="s">
        <v>722</v>
      </c>
      <c r="F35" s="168" t="s">
        <v>209</v>
      </c>
      <c r="G35" s="168"/>
      <c r="H35" s="168" t="s">
        <v>209</v>
      </c>
      <c r="I35" s="168"/>
      <c r="J35" s="168" t="s">
        <v>240</v>
      </c>
      <c r="K35" s="168"/>
      <c r="L35" s="168" t="s">
        <v>240</v>
      </c>
      <c r="Q35" s="220"/>
    </row>
    <row r="36" spans="1:17" x14ac:dyDescent="0.25">
      <c r="A36" s="342" t="s">
        <v>300</v>
      </c>
      <c r="B36" s="342" t="s">
        <v>422</v>
      </c>
      <c r="C36" s="339" t="s">
        <v>560</v>
      </c>
      <c r="D36" s="168" t="s">
        <v>841</v>
      </c>
      <c r="E36" s="220" t="s">
        <v>677</v>
      </c>
      <c r="F36" s="168" t="s">
        <v>215</v>
      </c>
      <c r="G36" s="168"/>
      <c r="H36" s="168" t="s">
        <v>209</v>
      </c>
      <c r="I36" s="168"/>
      <c r="J36" s="168" t="s">
        <v>240</v>
      </c>
      <c r="K36" s="168"/>
      <c r="L36" s="168" t="s">
        <v>240</v>
      </c>
      <c r="Q36" s="220"/>
    </row>
    <row r="37" spans="1:17" x14ac:dyDescent="0.25">
      <c r="A37" s="342" t="s">
        <v>341</v>
      </c>
      <c r="B37" s="342" t="s">
        <v>423</v>
      </c>
      <c r="C37" s="339" t="s">
        <v>561</v>
      </c>
      <c r="D37" s="168" t="s">
        <v>806</v>
      </c>
      <c r="E37" s="220" t="s">
        <v>723</v>
      </c>
      <c r="F37" s="168" t="s">
        <v>215</v>
      </c>
      <c r="G37" s="168"/>
      <c r="H37" s="168" t="s">
        <v>209</v>
      </c>
      <c r="I37" s="168"/>
      <c r="J37" s="168" t="s">
        <v>240</v>
      </c>
      <c r="K37" s="168"/>
      <c r="L37" s="168" t="s">
        <v>240</v>
      </c>
      <c r="Q37" s="220"/>
    </row>
    <row r="38" spans="1:17" x14ac:dyDescent="0.25">
      <c r="A38" s="342" t="s">
        <v>299</v>
      </c>
      <c r="B38" s="342" t="s">
        <v>424</v>
      </c>
      <c r="C38" s="339" t="s">
        <v>508</v>
      </c>
      <c r="D38" s="168" t="s">
        <v>683</v>
      </c>
      <c r="E38" s="220" t="s">
        <v>672</v>
      </c>
      <c r="F38" s="168" t="s">
        <v>215</v>
      </c>
      <c r="G38" s="168"/>
      <c r="H38" s="168" t="s">
        <v>209</v>
      </c>
      <c r="I38" s="168"/>
      <c r="J38" s="168" t="s">
        <v>240</v>
      </c>
      <c r="K38" s="168"/>
      <c r="L38" s="168" t="s">
        <v>240</v>
      </c>
      <c r="Q38" s="220"/>
    </row>
    <row r="39" spans="1:17" x14ac:dyDescent="0.25">
      <c r="A39" s="342" t="s">
        <v>328</v>
      </c>
      <c r="B39" s="342" t="s">
        <v>425</v>
      </c>
      <c r="C39" s="339" t="s">
        <v>533</v>
      </c>
      <c r="D39" s="168" t="s">
        <v>842</v>
      </c>
      <c r="E39" s="220" t="s">
        <v>724</v>
      </c>
      <c r="F39" s="168" t="s">
        <v>209</v>
      </c>
      <c r="G39" s="168"/>
      <c r="H39" s="168" t="s">
        <v>209</v>
      </c>
      <c r="I39" s="168"/>
      <c r="J39" s="168" t="s">
        <v>240</v>
      </c>
      <c r="K39" s="168"/>
      <c r="L39" s="168" t="s">
        <v>240</v>
      </c>
      <c r="Q39" s="220"/>
    </row>
    <row r="40" spans="1:17" x14ac:dyDescent="0.25">
      <c r="A40" s="342" t="s">
        <v>326</v>
      </c>
      <c r="B40" s="342" t="s">
        <v>426</v>
      </c>
      <c r="C40" s="339" t="s">
        <v>586</v>
      </c>
      <c r="D40" s="168" t="s">
        <v>686</v>
      </c>
      <c r="E40" s="220" t="s">
        <v>725</v>
      </c>
      <c r="F40" s="168" t="s">
        <v>209</v>
      </c>
      <c r="G40" s="168"/>
      <c r="H40" s="168" t="s">
        <v>209</v>
      </c>
      <c r="I40" s="168"/>
      <c r="J40" s="168" t="s">
        <v>240</v>
      </c>
      <c r="K40" s="168"/>
      <c r="L40" s="168" t="s">
        <v>240</v>
      </c>
      <c r="Q40" s="220"/>
    </row>
    <row r="41" spans="1:17" x14ac:dyDescent="0.25">
      <c r="A41" s="342" t="s">
        <v>323</v>
      </c>
      <c r="B41" s="342" t="s">
        <v>427</v>
      </c>
      <c r="C41" s="339" t="s">
        <v>587</v>
      </c>
      <c r="D41" s="168" t="s">
        <v>843</v>
      </c>
      <c r="E41" s="220" t="s">
        <v>726</v>
      </c>
      <c r="F41" s="168" t="s">
        <v>209</v>
      </c>
      <c r="G41" s="168"/>
      <c r="H41" s="168" t="s">
        <v>215</v>
      </c>
      <c r="I41" s="168"/>
      <c r="J41" s="168" t="s">
        <v>240</v>
      </c>
      <c r="K41" s="168"/>
      <c r="L41" s="168" t="s">
        <v>240</v>
      </c>
      <c r="Q41" s="220"/>
    </row>
    <row r="42" spans="1:17" x14ac:dyDescent="0.25">
      <c r="A42" s="342" t="s">
        <v>429</v>
      </c>
      <c r="B42" s="342" t="s">
        <v>428</v>
      </c>
      <c r="C42" s="339" t="s">
        <v>588</v>
      </c>
      <c r="D42" s="168" t="s">
        <v>844</v>
      </c>
      <c r="E42" s="220" t="s">
        <v>727</v>
      </c>
      <c r="F42" s="168" t="s">
        <v>215</v>
      </c>
      <c r="G42" s="168"/>
      <c r="H42" s="168" t="s">
        <v>209</v>
      </c>
      <c r="I42" s="168"/>
      <c r="J42" s="168" t="s">
        <v>240</v>
      </c>
      <c r="K42" s="168"/>
      <c r="L42" s="168" t="s">
        <v>240</v>
      </c>
      <c r="Q42" s="220"/>
    </row>
    <row r="43" spans="1:17" x14ac:dyDescent="0.25">
      <c r="A43" s="342" t="s">
        <v>327</v>
      </c>
      <c r="B43" s="342" t="s">
        <v>430</v>
      </c>
      <c r="C43" s="339" t="s">
        <v>563</v>
      </c>
      <c r="D43" s="168" t="s">
        <v>556</v>
      </c>
      <c r="E43" s="220" t="s">
        <v>728</v>
      </c>
      <c r="F43" s="168" t="s">
        <v>215</v>
      </c>
      <c r="G43" s="168"/>
      <c r="H43" s="168" t="s">
        <v>215</v>
      </c>
      <c r="I43" s="168"/>
      <c r="J43" s="168" t="s">
        <v>240</v>
      </c>
      <c r="K43" s="168"/>
      <c r="L43" s="168" t="s">
        <v>240</v>
      </c>
      <c r="Q43" s="220"/>
    </row>
    <row r="44" spans="1:17" x14ac:dyDescent="0.25">
      <c r="A44" s="342" t="s">
        <v>363</v>
      </c>
      <c r="B44" s="342" t="s">
        <v>431</v>
      </c>
      <c r="C44" s="339" t="s">
        <v>589</v>
      </c>
      <c r="D44" s="168" t="s">
        <v>845</v>
      </c>
      <c r="E44" s="220" t="s">
        <v>729</v>
      </c>
      <c r="F44" s="168" t="s">
        <v>209</v>
      </c>
      <c r="G44" s="168"/>
      <c r="H44" s="168" t="s">
        <v>209</v>
      </c>
      <c r="I44" s="168"/>
      <c r="J44" s="168" t="s">
        <v>240</v>
      </c>
      <c r="K44" s="168"/>
      <c r="L44" s="168" t="s">
        <v>240</v>
      </c>
      <c r="Q44" s="220"/>
    </row>
    <row r="45" spans="1:17" x14ac:dyDescent="0.25">
      <c r="A45" s="342" t="s">
        <v>433</v>
      </c>
      <c r="B45" s="342" t="s">
        <v>432</v>
      </c>
      <c r="C45" s="339" t="s">
        <v>590</v>
      </c>
      <c r="D45" s="168" t="s">
        <v>808</v>
      </c>
      <c r="E45" s="220" t="s">
        <v>730</v>
      </c>
      <c r="F45" s="168" t="s">
        <v>209</v>
      </c>
      <c r="G45" s="168"/>
      <c r="H45" s="168" t="s">
        <v>209</v>
      </c>
      <c r="I45" s="168"/>
      <c r="J45" s="168" t="s">
        <v>240</v>
      </c>
      <c r="K45" s="168"/>
      <c r="L45" s="168" t="s">
        <v>240</v>
      </c>
      <c r="Q45" s="220"/>
    </row>
    <row r="46" spans="1:17" x14ac:dyDescent="0.25">
      <c r="A46" s="342" t="s">
        <v>434</v>
      </c>
      <c r="B46" s="342" t="s">
        <v>418</v>
      </c>
      <c r="C46" s="339" t="s">
        <v>562</v>
      </c>
      <c r="D46" s="168" t="s">
        <v>846</v>
      </c>
      <c r="E46" s="220" t="s">
        <v>731</v>
      </c>
      <c r="F46" s="168" t="s">
        <v>231</v>
      </c>
      <c r="G46" s="168"/>
      <c r="H46" s="168" t="s">
        <v>215</v>
      </c>
      <c r="I46" s="168"/>
      <c r="J46" s="168" t="s">
        <v>240</v>
      </c>
      <c r="K46" s="168"/>
      <c r="L46" s="168" t="s">
        <v>240</v>
      </c>
      <c r="Q46" s="220"/>
    </row>
    <row r="47" spans="1:17" x14ac:dyDescent="0.25">
      <c r="A47" s="342" t="s">
        <v>307</v>
      </c>
      <c r="B47" s="342" t="s">
        <v>435</v>
      </c>
      <c r="C47" s="339" t="s">
        <v>591</v>
      </c>
      <c r="D47" s="168" t="s">
        <v>809</v>
      </c>
      <c r="E47" s="220" t="s">
        <v>732</v>
      </c>
      <c r="F47" s="168" t="s">
        <v>231</v>
      </c>
      <c r="G47" s="168"/>
      <c r="H47" s="168" t="s">
        <v>231</v>
      </c>
      <c r="I47" s="168"/>
      <c r="J47" s="168" t="s">
        <v>240</v>
      </c>
      <c r="K47" s="168"/>
      <c r="L47" s="168" t="s">
        <v>240</v>
      </c>
      <c r="Q47" s="220"/>
    </row>
    <row r="48" spans="1:17" x14ac:dyDescent="0.25">
      <c r="A48" s="342" t="s">
        <v>362</v>
      </c>
      <c r="B48" s="342" t="s">
        <v>436</v>
      </c>
      <c r="C48" s="339" t="s">
        <v>564</v>
      </c>
      <c r="D48" s="168" t="s">
        <v>810</v>
      </c>
      <c r="E48" s="220" t="s">
        <v>733</v>
      </c>
      <c r="F48" s="168" t="s">
        <v>215</v>
      </c>
      <c r="G48" s="168"/>
      <c r="H48" s="168" t="s">
        <v>209</v>
      </c>
      <c r="I48" s="168"/>
      <c r="J48" s="168" t="s">
        <v>240</v>
      </c>
      <c r="K48" s="168"/>
      <c r="L48" s="168" t="s">
        <v>240</v>
      </c>
      <c r="Q48" s="220"/>
    </row>
    <row r="49" spans="1:17" x14ac:dyDescent="0.25">
      <c r="A49" s="342" t="s">
        <v>330</v>
      </c>
      <c r="B49" s="342" t="s">
        <v>437</v>
      </c>
      <c r="C49" s="339" t="s">
        <v>534</v>
      </c>
      <c r="D49" s="168" t="s">
        <v>685</v>
      </c>
      <c r="E49" s="220" t="s">
        <v>734</v>
      </c>
      <c r="F49" s="168" t="s">
        <v>231</v>
      </c>
      <c r="G49" s="168"/>
      <c r="H49" s="168" t="s">
        <v>231</v>
      </c>
      <c r="I49" s="168"/>
      <c r="J49" s="168" t="s">
        <v>240</v>
      </c>
      <c r="K49" s="168"/>
      <c r="L49" s="168" t="s">
        <v>240</v>
      </c>
      <c r="Q49" s="220"/>
    </row>
    <row r="50" spans="1:17" x14ac:dyDescent="0.25">
      <c r="A50" s="342" t="s">
        <v>303</v>
      </c>
      <c r="B50" s="342" t="s">
        <v>438</v>
      </c>
      <c r="C50" s="339" t="s">
        <v>592</v>
      </c>
      <c r="D50" s="168" t="s">
        <v>811</v>
      </c>
      <c r="E50" s="220" t="s">
        <v>735</v>
      </c>
      <c r="F50" s="168" t="s">
        <v>209</v>
      </c>
      <c r="G50" s="168"/>
      <c r="H50" s="168" t="s">
        <v>209</v>
      </c>
      <c r="I50" s="168"/>
      <c r="J50" s="168" t="s">
        <v>240</v>
      </c>
      <c r="K50" s="168"/>
      <c r="L50" s="168" t="s">
        <v>240</v>
      </c>
      <c r="Q50" s="220"/>
    </row>
    <row r="51" spans="1:17" x14ac:dyDescent="0.25">
      <c r="A51" s="342" t="s">
        <v>325</v>
      </c>
      <c r="B51" s="342" t="s">
        <v>439</v>
      </c>
      <c r="C51" s="339" t="s">
        <v>593</v>
      </c>
      <c r="D51" s="168" t="s">
        <v>812</v>
      </c>
      <c r="E51" s="220" t="s">
        <v>673</v>
      </c>
      <c r="F51" s="168" t="s">
        <v>209</v>
      </c>
      <c r="G51" s="168"/>
      <c r="H51" s="168" t="s">
        <v>215</v>
      </c>
      <c r="I51" s="168"/>
      <c r="J51" s="168" t="s">
        <v>240</v>
      </c>
      <c r="K51" s="168"/>
      <c r="L51" s="168" t="s">
        <v>240</v>
      </c>
      <c r="Q51" s="220"/>
    </row>
    <row r="52" spans="1:17" x14ac:dyDescent="0.25">
      <c r="A52" s="342" t="s">
        <v>369</v>
      </c>
      <c r="B52" s="342" t="s">
        <v>440</v>
      </c>
      <c r="C52" s="339" t="s">
        <v>594</v>
      </c>
      <c r="D52" s="168" t="s">
        <v>847</v>
      </c>
      <c r="E52" s="220" t="s">
        <v>736</v>
      </c>
      <c r="F52" s="168" t="s">
        <v>209</v>
      </c>
      <c r="G52" s="168"/>
      <c r="H52" s="168" t="s">
        <v>209</v>
      </c>
      <c r="I52" s="168"/>
      <c r="J52" s="168" t="s">
        <v>240</v>
      </c>
      <c r="K52" s="168"/>
      <c r="L52" s="168" t="s">
        <v>240</v>
      </c>
      <c r="Q52" s="220"/>
    </row>
    <row r="53" spans="1:17" x14ac:dyDescent="0.25">
      <c r="A53" s="342" t="s">
        <v>443</v>
      </c>
      <c r="B53" s="342" t="s">
        <v>442</v>
      </c>
      <c r="C53" s="339" t="s">
        <v>595</v>
      </c>
      <c r="D53" s="168" t="s">
        <v>848</v>
      </c>
      <c r="E53" s="220" t="s">
        <v>737</v>
      </c>
      <c r="F53" s="168" t="s">
        <v>231</v>
      </c>
      <c r="G53" s="168"/>
      <c r="H53" s="168" t="s">
        <v>218</v>
      </c>
      <c r="I53" s="168"/>
      <c r="J53" s="168" t="s">
        <v>240</v>
      </c>
      <c r="K53" s="168"/>
      <c r="L53" s="168" t="s">
        <v>240</v>
      </c>
      <c r="Q53" s="220"/>
    </row>
    <row r="54" spans="1:17" x14ac:dyDescent="0.25">
      <c r="A54" s="342" t="s">
        <v>342</v>
      </c>
      <c r="B54" s="342" t="s">
        <v>444</v>
      </c>
      <c r="C54" s="339" t="s">
        <v>524</v>
      </c>
      <c r="D54" s="168" t="s">
        <v>682</v>
      </c>
      <c r="E54" s="220" t="s">
        <v>738</v>
      </c>
      <c r="F54" s="168" t="s">
        <v>231</v>
      </c>
      <c r="G54" s="168"/>
      <c r="H54" s="168" t="s">
        <v>215</v>
      </c>
      <c r="I54" s="168"/>
      <c r="J54" s="168" t="s">
        <v>240</v>
      </c>
      <c r="K54" s="168"/>
      <c r="L54" s="168" t="s">
        <v>240</v>
      </c>
      <c r="Q54" s="220"/>
    </row>
    <row r="55" spans="1:17" x14ac:dyDescent="0.25">
      <c r="A55" s="342" t="s">
        <v>295</v>
      </c>
      <c r="B55" s="342" t="s">
        <v>381</v>
      </c>
      <c r="C55" s="339" t="s">
        <v>596</v>
      </c>
      <c r="D55" s="168" t="s">
        <v>849</v>
      </c>
      <c r="E55" s="220" t="s">
        <v>739</v>
      </c>
      <c r="F55" s="168" t="s">
        <v>209</v>
      </c>
      <c r="G55" s="168"/>
      <c r="H55" s="168" t="s">
        <v>209</v>
      </c>
      <c r="I55" s="168"/>
      <c r="J55" s="168" t="s">
        <v>240</v>
      </c>
      <c r="K55" s="168"/>
      <c r="L55" s="168" t="s">
        <v>240</v>
      </c>
      <c r="Q55" s="220"/>
    </row>
    <row r="56" spans="1:17" x14ac:dyDescent="0.25">
      <c r="A56" s="342" t="s">
        <v>336</v>
      </c>
      <c r="B56" s="342" t="s">
        <v>445</v>
      </c>
      <c r="C56" s="339" t="s">
        <v>597</v>
      </c>
      <c r="D56" s="168" t="s">
        <v>813</v>
      </c>
      <c r="E56" s="220" t="s">
        <v>740</v>
      </c>
      <c r="F56" s="168" t="s">
        <v>209</v>
      </c>
      <c r="G56" s="168"/>
      <c r="H56" s="168" t="s">
        <v>209</v>
      </c>
      <c r="I56" s="168"/>
      <c r="J56" s="168" t="s">
        <v>240</v>
      </c>
      <c r="K56" s="168"/>
      <c r="L56" s="168" t="s">
        <v>240</v>
      </c>
      <c r="Q56" s="220"/>
    </row>
    <row r="57" spans="1:17" x14ac:dyDescent="0.25">
      <c r="A57" s="342" t="s">
        <v>301</v>
      </c>
      <c r="B57" s="342" t="s">
        <v>446</v>
      </c>
      <c r="C57" s="339" t="s">
        <v>598</v>
      </c>
      <c r="D57" s="168" t="s">
        <v>814</v>
      </c>
      <c r="E57" s="220" t="s">
        <v>741</v>
      </c>
      <c r="F57" s="168" t="s">
        <v>209</v>
      </c>
      <c r="G57" s="168"/>
      <c r="H57" s="168" t="s">
        <v>209</v>
      </c>
      <c r="I57" s="168"/>
      <c r="J57" s="168" t="s">
        <v>240</v>
      </c>
      <c r="K57" s="168"/>
      <c r="L57" s="168" t="s">
        <v>240</v>
      </c>
      <c r="Q57" s="220"/>
    </row>
    <row r="58" spans="1:17" x14ac:dyDescent="0.25">
      <c r="A58" s="342" t="s">
        <v>347</v>
      </c>
      <c r="B58" s="342" t="s">
        <v>447</v>
      </c>
      <c r="C58" s="339" t="s">
        <v>544</v>
      </c>
      <c r="D58" s="168" t="s">
        <v>524</v>
      </c>
      <c r="E58" s="220" t="s">
        <v>742</v>
      </c>
      <c r="F58" s="168" t="s">
        <v>209</v>
      </c>
      <c r="G58" s="168"/>
      <c r="H58" s="168" t="s">
        <v>209</v>
      </c>
      <c r="I58" s="168"/>
      <c r="J58" s="168" t="s">
        <v>240</v>
      </c>
      <c r="K58" s="168"/>
      <c r="L58" s="168" t="s">
        <v>240</v>
      </c>
      <c r="Q58" s="220"/>
    </row>
    <row r="59" spans="1:17" x14ac:dyDescent="0.25">
      <c r="A59" s="342" t="s">
        <v>365</v>
      </c>
      <c r="B59" s="342" t="s">
        <v>448</v>
      </c>
      <c r="C59" s="339" t="s">
        <v>599</v>
      </c>
      <c r="D59" s="168" t="s">
        <v>850</v>
      </c>
      <c r="E59" s="220" t="s">
        <v>675</v>
      </c>
      <c r="F59" s="168" t="s">
        <v>215</v>
      </c>
      <c r="G59" s="168"/>
      <c r="H59" s="168" t="s">
        <v>209</v>
      </c>
      <c r="I59" s="168"/>
      <c r="J59" s="168" t="s">
        <v>240</v>
      </c>
      <c r="K59" s="168"/>
      <c r="L59" s="168" t="s">
        <v>240</v>
      </c>
      <c r="Q59" s="220"/>
    </row>
    <row r="60" spans="1:17" x14ac:dyDescent="0.25">
      <c r="A60" s="342" t="s">
        <v>297</v>
      </c>
      <c r="B60" s="342" t="s">
        <v>449</v>
      </c>
      <c r="C60" s="339" t="s">
        <v>600</v>
      </c>
      <c r="D60" s="168" t="s">
        <v>851</v>
      </c>
      <c r="E60" s="220" t="s">
        <v>743</v>
      </c>
      <c r="F60" s="168" t="s">
        <v>209</v>
      </c>
      <c r="G60" s="168"/>
      <c r="H60" s="168" t="s">
        <v>209</v>
      </c>
      <c r="I60" s="168"/>
      <c r="J60" s="168" t="s">
        <v>240</v>
      </c>
      <c r="K60" s="168"/>
      <c r="L60" s="168" t="s">
        <v>240</v>
      </c>
      <c r="Q60" s="220"/>
    </row>
    <row r="61" spans="1:17" x14ac:dyDescent="0.25">
      <c r="A61" s="342" t="s">
        <v>450</v>
      </c>
      <c r="B61" s="342" t="s">
        <v>420</v>
      </c>
      <c r="C61" s="339" t="s">
        <v>565</v>
      </c>
      <c r="D61" s="168" t="s">
        <v>815</v>
      </c>
      <c r="E61" s="220" t="s">
        <v>744</v>
      </c>
      <c r="F61" s="168" t="s">
        <v>218</v>
      </c>
      <c r="G61" s="168"/>
      <c r="H61" s="168" t="s">
        <v>218</v>
      </c>
      <c r="I61" s="168"/>
      <c r="J61" s="168" t="s">
        <v>240</v>
      </c>
      <c r="K61" s="168"/>
      <c r="L61" s="168" t="s">
        <v>240</v>
      </c>
      <c r="Q61" s="220"/>
    </row>
    <row r="62" spans="1:17" x14ac:dyDescent="0.25">
      <c r="A62" s="342" t="s">
        <v>322</v>
      </c>
      <c r="B62" s="342" t="s">
        <v>451</v>
      </c>
      <c r="C62" s="339" t="s">
        <v>449</v>
      </c>
      <c r="D62" s="168" t="s">
        <v>816</v>
      </c>
      <c r="E62" s="220" t="s">
        <v>745</v>
      </c>
      <c r="F62" s="168" t="s">
        <v>215</v>
      </c>
      <c r="G62" s="168"/>
      <c r="H62" s="168" t="s">
        <v>209</v>
      </c>
      <c r="I62" s="168"/>
      <c r="J62" s="168" t="s">
        <v>240</v>
      </c>
      <c r="K62" s="168"/>
      <c r="L62" s="168" t="s">
        <v>240</v>
      </c>
      <c r="Q62" s="220"/>
    </row>
    <row r="63" spans="1:17" x14ac:dyDescent="0.25">
      <c r="A63" s="342" t="s">
        <v>313</v>
      </c>
      <c r="B63" s="342" t="s">
        <v>452</v>
      </c>
      <c r="C63" s="339" t="s">
        <v>601</v>
      </c>
      <c r="D63" s="168" t="s">
        <v>852</v>
      </c>
      <c r="E63" s="220" t="s">
        <v>726</v>
      </c>
      <c r="F63" s="168" t="s">
        <v>209</v>
      </c>
      <c r="G63" s="168"/>
      <c r="H63" s="168" t="s">
        <v>209</v>
      </c>
      <c r="I63" s="168"/>
      <c r="J63" s="168" t="s">
        <v>240</v>
      </c>
      <c r="K63" s="168"/>
      <c r="L63" s="168" t="s">
        <v>240</v>
      </c>
      <c r="Q63" s="220"/>
    </row>
    <row r="64" spans="1:17" x14ac:dyDescent="0.25">
      <c r="A64" s="342" t="s">
        <v>314</v>
      </c>
      <c r="B64" s="342" t="s">
        <v>453</v>
      </c>
      <c r="C64" s="339" t="s">
        <v>535</v>
      </c>
      <c r="D64" s="168" t="s">
        <v>853</v>
      </c>
      <c r="E64" s="220" t="s">
        <v>746</v>
      </c>
      <c r="F64" s="168" t="s">
        <v>215</v>
      </c>
      <c r="G64" s="168"/>
      <c r="H64" s="168" t="s">
        <v>215</v>
      </c>
      <c r="I64" s="168"/>
      <c r="J64" s="168" t="s">
        <v>240</v>
      </c>
      <c r="K64" s="168"/>
      <c r="L64" s="168" t="s">
        <v>240</v>
      </c>
      <c r="Q64" s="220"/>
    </row>
    <row r="65" spans="1:17" x14ac:dyDescent="0.25">
      <c r="A65" s="342" t="s">
        <v>298</v>
      </c>
      <c r="B65" s="342" t="s">
        <v>454</v>
      </c>
      <c r="C65" s="339" t="s">
        <v>436</v>
      </c>
      <c r="D65" s="168" t="s">
        <v>817</v>
      </c>
      <c r="E65" s="220" t="s">
        <v>747</v>
      </c>
      <c r="F65" s="168" t="s">
        <v>215</v>
      </c>
      <c r="G65" s="168"/>
      <c r="H65" s="168" t="s">
        <v>215</v>
      </c>
      <c r="I65" s="168"/>
      <c r="J65" s="168" t="s">
        <v>240</v>
      </c>
      <c r="K65" s="168"/>
      <c r="L65" s="168" t="s">
        <v>240</v>
      </c>
      <c r="Q65" s="220"/>
    </row>
    <row r="66" spans="1:17" x14ac:dyDescent="0.25">
      <c r="A66" s="342" t="s">
        <v>455</v>
      </c>
      <c r="B66" s="342" t="s">
        <v>379</v>
      </c>
      <c r="C66" s="339" t="s">
        <v>543</v>
      </c>
      <c r="D66" s="168" t="s">
        <v>854</v>
      </c>
      <c r="E66" s="220" t="s">
        <v>748</v>
      </c>
      <c r="F66" s="168" t="s">
        <v>231</v>
      </c>
      <c r="G66" s="168"/>
      <c r="H66" s="168" t="s">
        <v>209</v>
      </c>
      <c r="I66" s="168"/>
      <c r="J66" s="168" t="s">
        <v>240</v>
      </c>
      <c r="K66" s="168"/>
      <c r="L66" s="168" t="s">
        <v>240</v>
      </c>
      <c r="Q66" s="220"/>
    </row>
    <row r="67" spans="1:17" x14ac:dyDescent="0.25">
      <c r="A67" s="342" t="s">
        <v>332</v>
      </c>
      <c r="B67" s="342" t="s">
        <v>456</v>
      </c>
      <c r="C67" s="339" t="s">
        <v>602</v>
      </c>
      <c r="D67" s="168" t="s">
        <v>855</v>
      </c>
      <c r="E67" s="220" t="s">
        <v>749</v>
      </c>
      <c r="F67" s="168" t="s">
        <v>209</v>
      </c>
      <c r="G67" s="168"/>
      <c r="H67" s="168" t="s">
        <v>209</v>
      </c>
      <c r="I67" s="168"/>
      <c r="J67" s="168" t="s">
        <v>240</v>
      </c>
      <c r="K67" s="168"/>
      <c r="L67" s="168" t="s">
        <v>240</v>
      </c>
      <c r="Q67" s="220"/>
    </row>
    <row r="68" spans="1:17" x14ac:dyDescent="0.25">
      <c r="A68" s="342" t="s">
        <v>315</v>
      </c>
      <c r="B68" s="342" t="s">
        <v>457</v>
      </c>
      <c r="C68" s="339" t="s">
        <v>603</v>
      </c>
      <c r="D68" s="168" t="s">
        <v>856</v>
      </c>
      <c r="E68" s="220" t="s">
        <v>750</v>
      </c>
      <c r="F68" s="168" t="s">
        <v>209</v>
      </c>
      <c r="G68" s="168"/>
      <c r="H68" s="168" t="s">
        <v>209</v>
      </c>
      <c r="I68" s="168"/>
      <c r="J68" s="168" t="s">
        <v>240</v>
      </c>
      <c r="K68" s="168"/>
      <c r="L68" s="168" t="s">
        <v>240</v>
      </c>
      <c r="Q68" s="220"/>
    </row>
    <row r="69" spans="1:17" x14ac:dyDescent="0.25">
      <c r="A69" s="342" t="s">
        <v>302</v>
      </c>
      <c r="B69" s="342" t="s">
        <v>458</v>
      </c>
      <c r="C69" s="339" t="s">
        <v>604</v>
      </c>
      <c r="D69" s="168" t="s">
        <v>818</v>
      </c>
      <c r="E69" s="220" t="s">
        <v>751</v>
      </c>
      <c r="F69" s="168" t="s">
        <v>209</v>
      </c>
      <c r="G69" s="168"/>
      <c r="H69" s="168" t="s">
        <v>209</v>
      </c>
      <c r="I69" s="168"/>
      <c r="J69" s="168" t="s">
        <v>240</v>
      </c>
      <c r="K69" s="168"/>
      <c r="L69" s="168" t="s">
        <v>240</v>
      </c>
      <c r="Q69" s="220"/>
    </row>
    <row r="70" spans="1:17" x14ac:dyDescent="0.25">
      <c r="A70" s="342" t="s">
        <v>460</v>
      </c>
      <c r="B70" s="342" t="s">
        <v>459</v>
      </c>
      <c r="C70" s="339" t="s">
        <v>545</v>
      </c>
      <c r="D70" s="168" t="s">
        <v>445</v>
      </c>
      <c r="E70" s="220" t="s">
        <v>752</v>
      </c>
      <c r="F70" s="168" t="s">
        <v>215</v>
      </c>
      <c r="G70" s="168"/>
      <c r="H70" s="168" t="s">
        <v>209</v>
      </c>
      <c r="I70" s="168"/>
      <c r="J70" s="168" t="s">
        <v>240</v>
      </c>
      <c r="K70" s="168"/>
      <c r="L70" s="168" t="s">
        <v>240</v>
      </c>
      <c r="Q70" s="220"/>
    </row>
    <row r="71" spans="1:17" x14ac:dyDescent="0.25">
      <c r="A71" s="342" t="s">
        <v>318</v>
      </c>
      <c r="B71" s="342" t="s">
        <v>461</v>
      </c>
      <c r="C71" s="339" t="s">
        <v>605</v>
      </c>
      <c r="D71" s="168" t="s">
        <v>819</v>
      </c>
      <c r="E71" s="220" t="s">
        <v>753</v>
      </c>
      <c r="F71" s="168" t="s">
        <v>209</v>
      </c>
      <c r="G71" s="168"/>
      <c r="H71" s="168" t="s">
        <v>209</v>
      </c>
      <c r="I71" s="168"/>
      <c r="J71" s="168" t="s">
        <v>240</v>
      </c>
      <c r="K71" s="168"/>
      <c r="L71" s="168" t="s">
        <v>240</v>
      </c>
      <c r="Q71" s="220"/>
    </row>
    <row r="72" spans="1:17" x14ac:dyDescent="0.25">
      <c r="A72" s="342" t="s">
        <v>311</v>
      </c>
      <c r="B72" s="342" t="s">
        <v>462</v>
      </c>
      <c r="C72" s="339" t="s">
        <v>606</v>
      </c>
      <c r="D72" s="168" t="s">
        <v>857</v>
      </c>
      <c r="E72" s="220" t="s">
        <v>754</v>
      </c>
      <c r="F72" s="168" t="s">
        <v>209</v>
      </c>
      <c r="G72" s="168"/>
      <c r="H72" s="168" t="s">
        <v>209</v>
      </c>
      <c r="I72" s="168"/>
      <c r="J72" s="168" t="s">
        <v>240</v>
      </c>
      <c r="K72" s="168"/>
      <c r="L72" s="168" t="s">
        <v>240</v>
      </c>
      <c r="Q72" s="220"/>
    </row>
    <row r="73" spans="1:17" x14ac:dyDescent="0.25">
      <c r="A73" s="342" t="s">
        <v>340</v>
      </c>
      <c r="B73" s="342" t="s">
        <v>463</v>
      </c>
      <c r="C73" s="339" t="s">
        <v>607</v>
      </c>
      <c r="D73" s="168" t="s">
        <v>858</v>
      </c>
      <c r="E73" s="220" t="s">
        <v>735</v>
      </c>
      <c r="F73" s="168" t="s">
        <v>209</v>
      </c>
      <c r="G73" s="168"/>
      <c r="H73" s="168" t="s">
        <v>215</v>
      </c>
      <c r="I73" s="168"/>
      <c r="J73" s="168" t="s">
        <v>240</v>
      </c>
      <c r="K73" s="168"/>
      <c r="L73" s="168" t="s">
        <v>240</v>
      </c>
      <c r="Q73" s="220"/>
    </row>
    <row r="74" spans="1:17" x14ac:dyDescent="0.25">
      <c r="A74" s="342" t="s">
        <v>465</v>
      </c>
      <c r="B74" s="342" t="s">
        <v>464</v>
      </c>
      <c r="C74" s="339" t="s">
        <v>608</v>
      </c>
      <c r="D74" s="168" t="s">
        <v>820</v>
      </c>
      <c r="E74" s="220" t="s">
        <v>755</v>
      </c>
      <c r="F74" s="168" t="s">
        <v>215</v>
      </c>
      <c r="G74" s="168"/>
      <c r="H74" s="168" t="s">
        <v>218</v>
      </c>
      <c r="I74" s="168"/>
      <c r="J74" s="168" t="s">
        <v>240</v>
      </c>
      <c r="K74" s="168"/>
      <c r="L74" s="168" t="s">
        <v>240</v>
      </c>
      <c r="Q74" s="220"/>
    </row>
    <row r="75" spans="1:17" x14ac:dyDescent="0.25">
      <c r="A75" s="342" t="s">
        <v>467</v>
      </c>
      <c r="B75" s="342" t="s">
        <v>466</v>
      </c>
      <c r="C75" s="339" t="s">
        <v>537</v>
      </c>
      <c r="D75" s="168" t="s">
        <v>668</v>
      </c>
      <c r="E75" s="220" t="s">
        <v>756</v>
      </c>
      <c r="F75" s="168" t="s">
        <v>215</v>
      </c>
      <c r="G75" s="168"/>
      <c r="H75" s="168" t="s">
        <v>215</v>
      </c>
      <c r="I75" s="168"/>
      <c r="J75" s="168" t="s">
        <v>240</v>
      </c>
      <c r="K75" s="168"/>
      <c r="L75" s="168" t="s">
        <v>240</v>
      </c>
      <c r="Q75" s="220"/>
    </row>
    <row r="76" spans="1:17" x14ac:dyDescent="0.25">
      <c r="A76" s="342" t="s">
        <v>338</v>
      </c>
      <c r="B76" s="342" t="s">
        <v>468</v>
      </c>
      <c r="C76" s="339" t="s">
        <v>609</v>
      </c>
      <c r="D76" s="168" t="s">
        <v>859</v>
      </c>
      <c r="E76" s="220" t="s">
        <v>757</v>
      </c>
      <c r="F76" s="168" t="s">
        <v>209</v>
      </c>
      <c r="G76" s="168"/>
      <c r="H76" s="168" t="s">
        <v>209</v>
      </c>
      <c r="I76" s="168"/>
      <c r="J76" s="168" t="s">
        <v>240</v>
      </c>
      <c r="K76" s="168"/>
      <c r="L76" s="168" t="s">
        <v>240</v>
      </c>
      <c r="Q76" s="220"/>
    </row>
    <row r="77" spans="1:17" x14ac:dyDescent="0.25">
      <c r="A77" s="342" t="s">
        <v>321</v>
      </c>
      <c r="B77" s="342" t="s">
        <v>469</v>
      </c>
      <c r="C77" s="339" t="s">
        <v>447</v>
      </c>
      <c r="D77" s="168" t="s">
        <v>821</v>
      </c>
      <c r="E77" s="220" t="s">
        <v>758</v>
      </c>
      <c r="F77" s="168" t="s">
        <v>209</v>
      </c>
      <c r="G77" s="168"/>
      <c r="H77" s="168" t="s">
        <v>215</v>
      </c>
      <c r="I77" s="168"/>
      <c r="J77" s="168" t="s">
        <v>240</v>
      </c>
      <c r="K77" s="168"/>
      <c r="L77" s="168" t="s">
        <v>240</v>
      </c>
      <c r="Q77" s="220"/>
    </row>
    <row r="78" spans="1:17" x14ac:dyDescent="0.25">
      <c r="A78" s="342" t="s">
        <v>471</v>
      </c>
      <c r="B78" s="342" t="s">
        <v>470</v>
      </c>
      <c r="C78" s="339" t="s">
        <v>541</v>
      </c>
      <c r="D78" s="168" t="s">
        <v>822</v>
      </c>
      <c r="E78" s="220" t="s">
        <v>759</v>
      </c>
      <c r="F78" s="168" t="s">
        <v>209</v>
      </c>
      <c r="G78" s="168"/>
      <c r="H78" s="168" t="s">
        <v>215</v>
      </c>
      <c r="I78" s="168"/>
      <c r="J78" s="168" t="s">
        <v>240</v>
      </c>
      <c r="K78" s="168"/>
      <c r="L78" s="168" t="s">
        <v>240</v>
      </c>
      <c r="Q78" s="220"/>
    </row>
    <row r="79" spans="1:17" x14ac:dyDescent="0.25">
      <c r="A79" s="342" t="s">
        <v>304</v>
      </c>
      <c r="B79" s="342" t="s">
        <v>472</v>
      </c>
      <c r="C79" s="339" t="s">
        <v>566</v>
      </c>
      <c r="D79" s="168" t="s">
        <v>823</v>
      </c>
      <c r="E79" s="220" t="s">
        <v>760</v>
      </c>
      <c r="F79" s="168" t="s">
        <v>209</v>
      </c>
      <c r="G79" s="168"/>
      <c r="H79" s="168" t="s">
        <v>215</v>
      </c>
      <c r="I79" s="168"/>
      <c r="J79" s="168" t="s">
        <v>240</v>
      </c>
      <c r="K79" s="168"/>
      <c r="L79" s="168" t="s">
        <v>240</v>
      </c>
      <c r="Q79" s="220"/>
    </row>
    <row r="80" spans="1:17" x14ac:dyDescent="0.25">
      <c r="A80" s="342" t="s">
        <v>474</v>
      </c>
      <c r="B80" s="342" t="s">
        <v>473</v>
      </c>
      <c r="C80" s="339" t="s">
        <v>567</v>
      </c>
      <c r="D80" s="168" t="s">
        <v>824</v>
      </c>
      <c r="E80" s="220" t="s">
        <v>671</v>
      </c>
      <c r="F80" s="168" t="s">
        <v>209</v>
      </c>
      <c r="G80" s="168"/>
      <c r="H80" s="168" t="s">
        <v>209</v>
      </c>
      <c r="I80" s="168"/>
      <c r="J80" s="168" t="s">
        <v>240</v>
      </c>
      <c r="K80" s="168"/>
      <c r="L80" s="168" t="s">
        <v>240</v>
      </c>
      <c r="Q80" s="220"/>
    </row>
    <row r="81" spans="1:17" x14ac:dyDescent="0.25">
      <c r="A81" s="342" t="s">
        <v>310</v>
      </c>
      <c r="B81" s="342" t="s">
        <v>475</v>
      </c>
      <c r="C81" s="339" t="s">
        <v>610</v>
      </c>
      <c r="D81" s="168" t="s">
        <v>860</v>
      </c>
      <c r="E81" s="220" t="s">
        <v>761</v>
      </c>
      <c r="F81" s="168" t="s">
        <v>218</v>
      </c>
      <c r="G81" s="168"/>
      <c r="H81" s="168" t="s">
        <v>215</v>
      </c>
      <c r="I81" s="168"/>
      <c r="J81" s="168" t="s">
        <v>240</v>
      </c>
      <c r="K81" s="168"/>
      <c r="L81" s="168" t="s">
        <v>240</v>
      </c>
      <c r="Q81" s="220"/>
    </row>
    <row r="82" spans="1:17" x14ac:dyDescent="0.25">
      <c r="A82" s="342" t="s">
        <v>367</v>
      </c>
      <c r="B82" s="342" t="s">
        <v>476</v>
      </c>
      <c r="C82" s="339" t="s">
        <v>525</v>
      </c>
      <c r="D82" s="168" t="s">
        <v>825</v>
      </c>
      <c r="E82" s="220" t="s">
        <v>676</v>
      </c>
      <c r="F82" s="168" t="s">
        <v>215</v>
      </c>
      <c r="G82" s="168"/>
      <c r="H82" s="168" t="s">
        <v>209</v>
      </c>
      <c r="I82" s="168"/>
      <c r="J82" s="168" t="s">
        <v>240</v>
      </c>
      <c r="K82" s="168"/>
      <c r="L82" s="168" t="s">
        <v>240</v>
      </c>
      <c r="Q82" s="220"/>
    </row>
    <row r="83" spans="1:17" x14ac:dyDescent="0.25">
      <c r="A83" s="342" t="s">
        <v>312</v>
      </c>
      <c r="B83" s="342" t="s">
        <v>441</v>
      </c>
      <c r="C83" s="339" t="s">
        <v>611</v>
      </c>
      <c r="D83" s="168" t="s">
        <v>523</v>
      </c>
      <c r="E83" s="220" t="s">
        <v>762</v>
      </c>
      <c r="F83" s="168" t="s">
        <v>209</v>
      </c>
      <c r="G83" s="168"/>
      <c r="H83" s="168" t="s">
        <v>215</v>
      </c>
      <c r="I83" s="168"/>
      <c r="J83" s="168" t="s">
        <v>240</v>
      </c>
      <c r="K83" s="168"/>
      <c r="L83" s="168" t="s">
        <v>240</v>
      </c>
      <c r="Q83" s="220"/>
    </row>
    <row r="84" spans="1:17" x14ac:dyDescent="0.25">
      <c r="A84" s="342" t="s">
        <v>478</v>
      </c>
      <c r="B84" s="342" t="s">
        <v>477</v>
      </c>
      <c r="C84" s="339" t="s">
        <v>508</v>
      </c>
      <c r="D84" s="168" t="s">
        <v>826</v>
      </c>
      <c r="E84" s="220" t="s">
        <v>763</v>
      </c>
      <c r="F84" s="168" t="s">
        <v>215</v>
      </c>
      <c r="G84" s="168"/>
      <c r="H84" s="168" t="s">
        <v>231</v>
      </c>
      <c r="I84" s="168"/>
      <c r="J84" s="168" t="s">
        <v>240</v>
      </c>
      <c r="K84" s="168"/>
      <c r="L84" s="168" t="s">
        <v>240</v>
      </c>
      <c r="Q84" s="220"/>
    </row>
    <row r="85" spans="1:17" x14ac:dyDescent="0.25">
      <c r="A85" s="342" t="s">
        <v>480</v>
      </c>
      <c r="B85" s="342" t="s">
        <v>479</v>
      </c>
      <c r="C85" s="339" t="s">
        <v>547</v>
      </c>
      <c r="D85" s="168" t="s">
        <v>815</v>
      </c>
      <c r="E85" s="220" t="s">
        <v>764</v>
      </c>
      <c r="F85" s="168" t="s">
        <v>231</v>
      </c>
      <c r="G85" s="168"/>
      <c r="H85" s="168" t="s">
        <v>231</v>
      </c>
      <c r="I85" s="168"/>
      <c r="J85" s="168" t="s">
        <v>240</v>
      </c>
      <c r="K85" s="168"/>
      <c r="L85" s="168" t="s">
        <v>240</v>
      </c>
      <c r="Q85" s="220"/>
    </row>
    <row r="86" spans="1:17" x14ac:dyDescent="0.25">
      <c r="A86" s="342" t="s">
        <v>351</v>
      </c>
      <c r="B86" s="342" t="s">
        <v>481</v>
      </c>
      <c r="C86" s="339" t="s">
        <v>542</v>
      </c>
      <c r="D86" s="168" t="s">
        <v>807</v>
      </c>
      <c r="E86" s="220" t="s">
        <v>765</v>
      </c>
      <c r="F86" s="168" t="s">
        <v>215</v>
      </c>
      <c r="G86" s="168"/>
      <c r="H86" s="168" t="s">
        <v>209</v>
      </c>
      <c r="I86" s="168"/>
      <c r="J86" s="168" t="s">
        <v>240</v>
      </c>
      <c r="K86" s="168"/>
      <c r="L86" s="168" t="s">
        <v>240</v>
      </c>
      <c r="Q86" s="220"/>
    </row>
    <row r="87" spans="1:17" x14ac:dyDescent="0.25">
      <c r="A87" s="342" t="s">
        <v>349</v>
      </c>
      <c r="B87" s="342" t="s">
        <v>482</v>
      </c>
      <c r="C87" s="339" t="s">
        <v>612</v>
      </c>
      <c r="D87" s="168" t="s">
        <v>827</v>
      </c>
      <c r="E87" s="220" t="s">
        <v>766</v>
      </c>
      <c r="F87" s="168" t="s">
        <v>209</v>
      </c>
      <c r="G87" s="168"/>
      <c r="H87" s="168" t="s">
        <v>209</v>
      </c>
      <c r="I87" s="168"/>
      <c r="J87" s="168" t="s">
        <v>240</v>
      </c>
      <c r="K87" s="168"/>
      <c r="L87" s="168" t="s">
        <v>240</v>
      </c>
      <c r="Q87" s="220"/>
    </row>
    <row r="88" spans="1:17" x14ac:dyDescent="0.25">
      <c r="A88" s="342" t="s">
        <v>366</v>
      </c>
      <c r="B88" s="342" t="s">
        <v>483</v>
      </c>
      <c r="C88" s="339" t="s">
        <v>613</v>
      </c>
      <c r="D88" s="168" t="s">
        <v>566</v>
      </c>
      <c r="E88" s="220" t="s">
        <v>767</v>
      </c>
      <c r="F88" s="168" t="s">
        <v>231</v>
      </c>
      <c r="G88" s="168"/>
      <c r="H88" s="168" t="s">
        <v>209</v>
      </c>
      <c r="I88" s="168"/>
      <c r="J88" s="168" t="s">
        <v>240</v>
      </c>
      <c r="K88" s="168"/>
      <c r="L88" s="168" t="s">
        <v>240</v>
      </c>
      <c r="Q88" s="220"/>
    </row>
    <row r="89" spans="1:17" x14ac:dyDescent="0.25">
      <c r="A89" s="342" t="s">
        <v>346</v>
      </c>
      <c r="B89" s="342" t="s">
        <v>484</v>
      </c>
      <c r="C89" s="339" t="s">
        <v>538</v>
      </c>
      <c r="D89" s="168" t="s">
        <v>861</v>
      </c>
      <c r="E89" s="220" t="s">
        <v>768</v>
      </c>
      <c r="F89" s="168" t="s">
        <v>218</v>
      </c>
      <c r="G89" s="168"/>
      <c r="H89" s="168" t="s">
        <v>215</v>
      </c>
      <c r="I89" s="168"/>
      <c r="J89" s="168" t="s">
        <v>240</v>
      </c>
      <c r="K89" s="168"/>
      <c r="L89" s="168" t="s">
        <v>240</v>
      </c>
      <c r="Q89" s="220"/>
    </row>
    <row r="90" spans="1:17" x14ac:dyDescent="0.25">
      <c r="A90" s="342" t="s">
        <v>335</v>
      </c>
      <c r="B90" s="342" t="s">
        <v>485</v>
      </c>
      <c r="C90" s="339" t="s">
        <v>614</v>
      </c>
      <c r="D90" s="168" t="s">
        <v>862</v>
      </c>
      <c r="E90" s="220" t="s">
        <v>769</v>
      </c>
      <c r="F90" s="168" t="s">
        <v>209</v>
      </c>
      <c r="G90" s="168"/>
      <c r="H90" s="168" t="s">
        <v>209</v>
      </c>
      <c r="I90" s="168"/>
      <c r="J90" s="168" t="s">
        <v>240</v>
      </c>
      <c r="K90" s="168"/>
      <c r="L90" s="168" t="s">
        <v>240</v>
      </c>
      <c r="Q90" s="220"/>
    </row>
    <row r="91" spans="1:17" x14ac:dyDescent="0.25">
      <c r="A91" s="342" t="s">
        <v>360</v>
      </c>
      <c r="B91" s="342" t="s">
        <v>486</v>
      </c>
      <c r="C91" s="339" t="s">
        <v>557</v>
      </c>
      <c r="D91" s="168" t="s">
        <v>684</v>
      </c>
      <c r="E91" s="220" t="s">
        <v>770</v>
      </c>
      <c r="F91" s="168" t="s">
        <v>215</v>
      </c>
      <c r="G91" s="168"/>
      <c r="H91" s="168" t="s">
        <v>209</v>
      </c>
      <c r="I91" s="168"/>
      <c r="J91" s="168" t="s">
        <v>240</v>
      </c>
      <c r="K91" s="168"/>
      <c r="L91" s="168" t="s">
        <v>240</v>
      </c>
      <c r="Q91" s="220"/>
    </row>
    <row r="92" spans="1:17" x14ac:dyDescent="0.25">
      <c r="A92" s="342" t="s">
        <v>355</v>
      </c>
      <c r="B92" s="342" t="s">
        <v>487</v>
      </c>
      <c r="C92" s="339" t="s">
        <v>568</v>
      </c>
      <c r="D92" s="168" t="s">
        <v>828</v>
      </c>
      <c r="E92" s="220" t="s">
        <v>771</v>
      </c>
      <c r="F92" s="168" t="s">
        <v>215</v>
      </c>
      <c r="G92" s="168"/>
      <c r="H92" s="168" t="s">
        <v>209</v>
      </c>
      <c r="I92" s="168"/>
      <c r="J92" s="168" t="s">
        <v>240</v>
      </c>
      <c r="K92" s="168"/>
      <c r="L92" s="168" t="s">
        <v>240</v>
      </c>
      <c r="Q92" s="220"/>
    </row>
    <row r="93" spans="1:17" x14ac:dyDescent="0.25">
      <c r="A93" s="342" t="s">
        <v>357</v>
      </c>
      <c r="B93" s="342" t="s">
        <v>488</v>
      </c>
      <c r="C93" s="339" t="s">
        <v>569</v>
      </c>
      <c r="D93" s="168" t="s">
        <v>829</v>
      </c>
      <c r="E93" s="220" t="s">
        <v>772</v>
      </c>
      <c r="F93" s="168" t="s">
        <v>209</v>
      </c>
      <c r="G93" s="168"/>
      <c r="H93" s="168" t="s">
        <v>209</v>
      </c>
      <c r="I93" s="168"/>
      <c r="J93" s="168" t="s">
        <v>240</v>
      </c>
      <c r="K93" s="168"/>
      <c r="L93" s="168" t="s">
        <v>240</v>
      </c>
      <c r="Q93" s="220"/>
    </row>
    <row r="94" spans="1:17" x14ac:dyDescent="0.25">
      <c r="A94" s="342" t="s">
        <v>354</v>
      </c>
      <c r="B94" s="342" t="s">
        <v>489</v>
      </c>
      <c r="C94" s="339" t="s">
        <v>428</v>
      </c>
      <c r="D94" s="168" t="s">
        <v>863</v>
      </c>
      <c r="E94" s="220" t="s">
        <v>773</v>
      </c>
      <c r="F94" s="168" t="s">
        <v>218</v>
      </c>
      <c r="G94" s="168"/>
      <c r="H94" s="168" t="s">
        <v>215</v>
      </c>
      <c r="I94" s="168"/>
      <c r="J94" s="168" t="s">
        <v>240</v>
      </c>
      <c r="K94" s="168"/>
      <c r="L94" s="168" t="s">
        <v>240</v>
      </c>
      <c r="Q94" s="220"/>
    </row>
    <row r="95" spans="1:17" x14ac:dyDescent="0.25">
      <c r="A95" s="342" t="s">
        <v>324</v>
      </c>
      <c r="B95" s="342" t="s">
        <v>490</v>
      </c>
      <c r="C95" s="339" t="s">
        <v>615</v>
      </c>
      <c r="D95" s="168" t="s">
        <v>830</v>
      </c>
      <c r="E95" s="220" t="s">
        <v>774</v>
      </c>
      <c r="F95" s="168" t="s">
        <v>231</v>
      </c>
      <c r="G95" s="168"/>
      <c r="H95" s="168" t="s">
        <v>215</v>
      </c>
      <c r="I95" s="168"/>
      <c r="J95" s="168" t="s">
        <v>240</v>
      </c>
      <c r="K95" s="168"/>
      <c r="L95" s="168" t="s">
        <v>240</v>
      </c>
      <c r="Q95" s="220"/>
    </row>
    <row r="96" spans="1:17" x14ac:dyDescent="0.25">
      <c r="A96" s="342" t="s">
        <v>320</v>
      </c>
      <c r="B96" s="342" t="s">
        <v>491</v>
      </c>
      <c r="C96" s="339" t="s">
        <v>539</v>
      </c>
      <c r="D96" s="168" t="s">
        <v>864</v>
      </c>
      <c r="E96" s="220" t="s">
        <v>775</v>
      </c>
      <c r="F96" s="168" t="s">
        <v>209</v>
      </c>
      <c r="G96" s="168"/>
      <c r="H96" s="168" t="s">
        <v>209</v>
      </c>
      <c r="I96" s="168"/>
      <c r="J96" s="168" t="s">
        <v>240</v>
      </c>
      <c r="K96" s="168"/>
      <c r="L96" s="168" t="s">
        <v>240</v>
      </c>
      <c r="Q96" s="220"/>
    </row>
    <row r="97" spans="1:17" x14ac:dyDescent="0.25">
      <c r="A97" s="342" t="s">
        <v>352</v>
      </c>
      <c r="B97" s="342" t="s">
        <v>492</v>
      </c>
      <c r="C97" s="339" t="s">
        <v>616</v>
      </c>
      <c r="D97" s="168" t="s">
        <v>831</v>
      </c>
      <c r="E97" s="220" t="s">
        <v>776</v>
      </c>
      <c r="F97" s="168" t="s">
        <v>209</v>
      </c>
      <c r="G97" s="168"/>
      <c r="H97" s="168" t="s">
        <v>209</v>
      </c>
      <c r="I97" s="168"/>
      <c r="J97" s="168" t="s">
        <v>240</v>
      </c>
      <c r="K97" s="168"/>
      <c r="L97" s="168" t="s">
        <v>240</v>
      </c>
      <c r="Q97" s="220"/>
    </row>
    <row r="98" spans="1:17" x14ac:dyDescent="0.25">
      <c r="A98" s="342" t="s">
        <v>305</v>
      </c>
      <c r="B98" s="342" t="s">
        <v>493</v>
      </c>
      <c r="C98" s="339" t="s">
        <v>617</v>
      </c>
      <c r="D98" s="168" t="s">
        <v>865</v>
      </c>
      <c r="E98" s="220" t="s">
        <v>777</v>
      </c>
      <c r="F98" s="168" t="s">
        <v>231</v>
      </c>
      <c r="G98" s="168"/>
      <c r="H98" s="168" t="s">
        <v>209</v>
      </c>
      <c r="I98" s="168"/>
      <c r="J98" s="168" t="s">
        <v>240</v>
      </c>
      <c r="K98" s="168"/>
      <c r="L98" s="168" t="s">
        <v>240</v>
      </c>
      <c r="Q98" s="220"/>
    </row>
    <row r="99" spans="1:17" x14ac:dyDescent="0.25">
      <c r="A99" s="342" t="s">
        <v>359</v>
      </c>
      <c r="B99" s="342" t="s">
        <v>494</v>
      </c>
      <c r="C99" s="339" t="s">
        <v>522</v>
      </c>
      <c r="D99" s="168" t="s">
        <v>799</v>
      </c>
      <c r="E99" s="220" t="s">
        <v>778</v>
      </c>
      <c r="F99" s="168" t="s">
        <v>215</v>
      </c>
      <c r="G99" s="168"/>
      <c r="H99" s="168" t="s">
        <v>209</v>
      </c>
      <c r="I99" s="168"/>
      <c r="J99" s="168" t="s">
        <v>240</v>
      </c>
      <c r="K99" s="168"/>
      <c r="L99" s="168" t="s">
        <v>240</v>
      </c>
      <c r="Q99" s="220"/>
    </row>
    <row r="100" spans="1:17" x14ac:dyDescent="0.25">
      <c r="A100" s="342" t="s">
        <v>496</v>
      </c>
      <c r="B100" s="342" t="s">
        <v>495</v>
      </c>
      <c r="C100" s="339" t="s">
        <v>527</v>
      </c>
      <c r="D100" s="168" t="s">
        <v>680</v>
      </c>
      <c r="E100" s="220" t="s">
        <v>779</v>
      </c>
      <c r="F100" s="168" t="s">
        <v>231</v>
      </c>
      <c r="G100" s="168"/>
      <c r="H100" s="168" t="s">
        <v>218</v>
      </c>
      <c r="I100" s="168"/>
      <c r="J100" s="168" t="s">
        <v>240</v>
      </c>
      <c r="K100" s="168"/>
      <c r="L100" s="168" t="s">
        <v>240</v>
      </c>
      <c r="Q100" s="220"/>
    </row>
    <row r="101" spans="1:17" x14ac:dyDescent="0.25">
      <c r="A101" s="342" t="s">
        <v>498</v>
      </c>
      <c r="B101" s="342" t="s">
        <v>497</v>
      </c>
      <c r="C101" s="339" t="s">
        <v>618</v>
      </c>
      <c r="D101" s="168" t="s">
        <v>866</v>
      </c>
      <c r="E101" s="220" t="s">
        <v>780</v>
      </c>
      <c r="F101" s="168" t="s">
        <v>215</v>
      </c>
      <c r="G101" s="168"/>
      <c r="H101" s="168" t="s">
        <v>215</v>
      </c>
      <c r="I101" s="168"/>
      <c r="J101" s="168" t="s">
        <v>240</v>
      </c>
      <c r="K101" s="168"/>
      <c r="L101" s="168" t="s">
        <v>240</v>
      </c>
      <c r="Q101" s="220"/>
    </row>
    <row r="102" spans="1:17" x14ac:dyDescent="0.25">
      <c r="A102" s="342" t="s">
        <v>500</v>
      </c>
      <c r="B102" s="342" t="s">
        <v>499</v>
      </c>
      <c r="C102" s="339" t="s">
        <v>570</v>
      </c>
      <c r="D102" s="168" t="s">
        <v>442</v>
      </c>
      <c r="E102" s="220" t="s">
        <v>781</v>
      </c>
      <c r="F102" s="168" t="s">
        <v>231</v>
      </c>
      <c r="G102" s="168"/>
      <c r="H102" s="168" t="s">
        <v>209</v>
      </c>
      <c r="I102" s="168"/>
      <c r="J102" s="168" t="s">
        <v>240</v>
      </c>
      <c r="K102" s="168"/>
      <c r="L102" s="168" t="s">
        <v>240</v>
      </c>
      <c r="Q102" s="220"/>
    </row>
    <row r="103" spans="1:17" x14ac:dyDescent="0.25">
      <c r="A103" s="342" t="s">
        <v>353</v>
      </c>
      <c r="B103" s="342" t="s">
        <v>501</v>
      </c>
      <c r="C103" s="339" t="s">
        <v>526</v>
      </c>
      <c r="D103" s="168" t="s">
        <v>832</v>
      </c>
      <c r="E103" s="220" t="s">
        <v>782</v>
      </c>
      <c r="F103" s="168" t="s">
        <v>209</v>
      </c>
      <c r="G103" s="168"/>
      <c r="H103" s="168" t="s">
        <v>231</v>
      </c>
      <c r="I103" s="168"/>
      <c r="J103" s="168" t="s">
        <v>240</v>
      </c>
      <c r="K103" s="168"/>
      <c r="L103" s="168" t="s">
        <v>240</v>
      </c>
      <c r="Q103" s="220"/>
    </row>
    <row r="104" spans="1:17" x14ac:dyDescent="0.25">
      <c r="A104" s="342" t="s">
        <v>333</v>
      </c>
      <c r="B104" s="342" t="s">
        <v>502</v>
      </c>
      <c r="C104" s="339" t="s">
        <v>619</v>
      </c>
      <c r="D104" s="168" t="s">
        <v>687</v>
      </c>
      <c r="E104" s="220" t="s">
        <v>783</v>
      </c>
      <c r="F104" s="168" t="s">
        <v>209</v>
      </c>
      <c r="G104" s="168"/>
      <c r="H104" s="168" t="s">
        <v>215</v>
      </c>
      <c r="I104" s="168"/>
      <c r="J104" s="168" t="s">
        <v>240</v>
      </c>
      <c r="K104" s="168"/>
      <c r="L104" s="168" t="s">
        <v>240</v>
      </c>
      <c r="Q104" s="220"/>
    </row>
    <row r="105" spans="1:17" x14ac:dyDescent="0.25">
      <c r="A105" s="342" t="s">
        <v>504</v>
      </c>
      <c r="B105" s="342" t="s">
        <v>503</v>
      </c>
      <c r="C105" s="339" t="s">
        <v>571</v>
      </c>
      <c r="D105" s="168" t="s">
        <v>833</v>
      </c>
      <c r="E105" s="220" t="s">
        <v>867</v>
      </c>
      <c r="F105" s="168" t="s">
        <v>209</v>
      </c>
      <c r="G105" s="168"/>
      <c r="H105" s="168" t="s">
        <v>215</v>
      </c>
      <c r="I105" s="168"/>
      <c r="J105" s="168" t="s">
        <v>240</v>
      </c>
      <c r="K105" s="168"/>
      <c r="L105" s="168" t="s">
        <v>240</v>
      </c>
      <c r="Q105" s="220"/>
    </row>
    <row r="106" spans="1:17" x14ac:dyDescent="0.25">
      <c r="Q106" s="220"/>
    </row>
    <row r="107" spans="1:17" x14ac:dyDescent="0.25">
      <c r="Q107" s="220"/>
    </row>
  </sheetData>
  <sheetProtection algorithmName="SHA-512" hashValue="55swu3MPjEpO/AhHhQwaCt2FshXFdvYdBa9qi3pT8W38Sy2c56H0zfdTbQw0wJvnu/PQAYn0Klg69ZWP2jIssA==" saltValue="UyGG3TuR5OEUXzPRo+xupg==" spinCount="100000" sheet="1" objects="1" scenarios="1" selectLockedCells="1"/>
  <conditionalFormatting sqref="A2:B105">
    <cfRule type="cellIs" dxfId="81" priority="5" stopIfTrue="1" operator="equal">
      <formula>"GRAND TOTAL"</formula>
    </cfRule>
    <cfRule type="cellIs" dxfId="80" priority="6" stopIfTrue="1" operator="equal">
      <formula>"SUB TOTAL"</formula>
    </cfRule>
  </conditionalFormatting>
  <conditionalFormatting sqref="E3:E105">
    <cfRule type="cellIs" dxfId="79" priority="1" operator="equal">
      <formula>"Current Retention"</formula>
    </cfRule>
  </conditionalFormatting>
  <conditionalFormatting sqref="Q5:Q107">
    <cfRule type="cellIs" dxfId="78" priority="3" operator="equal">
      <formula>"Current Retention"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A6DA3-A0DD-4DA3-9FDC-6343D085BE3E}">
  <sheetPr>
    <tabColor rgb="FFC00000"/>
  </sheetPr>
  <dimension ref="A1:I22"/>
  <sheetViews>
    <sheetView workbookViewId="0">
      <selection activeCell="I15" sqref="I15"/>
    </sheetView>
  </sheetViews>
  <sheetFormatPr defaultRowHeight="15" x14ac:dyDescent="0.25"/>
  <cols>
    <col min="1" max="1" width="24" customWidth="1"/>
    <col min="2" max="8" width="8.7109375" customWidth="1"/>
    <col min="9" max="9" width="15.28515625" customWidth="1"/>
  </cols>
  <sheetData>
    <row r="1" spans="1:9" ht="18.75" x14ac:dyDescent="0.4">
      <c r="A1" s="58" t="s">
        <v>267</v>
      </c>
      <c r="B1" s="59">
        <v>100</v>
      </c>
      <c r="C1" s="59">
        <v>145</v>
      </c>
      <c r="D1" s="59">
        <v>214</v>
      </c>
      <c r="E1" s="59">
        <v>429</v>
      </c>
      <c r="F1" s="59">
        <v>746</v>
      </c>
      <c r="G1" s="59">
        <v>826</v>
      </c>
      <c r="H1" s="59">
        <v>1147</v>
      </c>
      <c r="I1" s="58" t="s">
        <v>69</v>
      </c>
    </row>
    <row r="2" spans="1:9" ht="18.75" x14ac:dyDescent="0.25">
      <c r="A2" s="32" t="s">
        <v>268</v>
      </c>
      <c r="B2" s="9"/>
      <c r="C2" s="9"/>
      <c r="D2" s="9"/>
      <c r="E2" s="9"/>
      <c r="F2" s="9"/>
      <c r="G2" s="9"/>
      <c r="H2" s="9"/>
      <c r="I2" s="9"/>
    </row>
    <row r="3" spans="1:9" x14ac:dyDescent="0.25">
      <c r="A3" s="60" t="s">
        <v>269</v>
      </c>
      <c r="B3" s="31">
        <f xml:space="preserve"> Ratings!H62</f>
        <v>11</v>
      </c>
      <c r="C3" s="31">
        <f xml:space="preserve"> Ratings!H63</f>
        <v>0</v>
      </c>
      <c r="D3" s="31">
        <f xml:space="preserve"> Ratings!H64</f>
        <v>11</v>
      </c>
      <c r="E3" s="31">
        <f xml:space="preserve"> Ratings!H65</f>
        <v>11</v>
      </c>
      <c r="F3" s="31">
        <f xml:space="preserve"> Ratings!H66</f>
        <v>9</v>
      </c>
      <c r="G3" s="31">
        <f xml:space="preserve"> Ratings!H67</f>
        <v>11</v>
      </c>
      <c r="H3" s="31">
        <f xml:space="preserve"> Ratings!H68</f>
        <v>9</v>
      </c>
      <c r="I3" s="61">
        <f>SUM(B3:H3)</f>
        <v>62</v>
      </c>
    </row>
    <row r="4" spans="1:9" x14ac:dyDescent="0.25">
      <c r="A4" s="60" t="s">
        <v>133</v>
      </c>
      <c r="B4" s="31">
        <f xml:space="preserve"> Ratings!J62</f>
        <v>9</v>
      </c>
      <c r="C4" s="31">
        <f xml:space="preserve"> Ratings!J63</f>
        <v>9</v>
      </c>
      <c r="D4" s="31">
        <f xml:space="preserve"> Ratings!J64</f>
        <v>10</v>
      </c>
      <c r="E4" s="31">
        <f xml:space="preserve"> Ratings!J65</f>
        <v>10</v>
      </c>
      <c r="F4" s="31">
        <f xml:space="preserve"> Ratings!J66</f>
        <v>10</v>
      </c>
      <c r="G4" s="31">
        <f xml:space="preserve"> Ratings!J67</f>
        <v>10</v>
      </c>
      <c r="H4" s="31">
        <f xml:space="preserve"> Ratings!J68</f>
        <v>10</v>
      </c>
      <c r="I4" s="61">
        <f t="shared" ref="I4:I19" si="0">SUM(B4:H4)</f>
        <v>68</v>
      </c>
    </row>
    <row r="5" spans="1:9" x14ac:dyDescent="0.25">
      <c r="A5" s="60" t="s">
        <v>270</v>
      </c>
      <c r="B5" s="31">
        <f xml:space="preserve"> Ratings!O62</f>
        <v>9</v>
      </c>
      <c r="C5" s="31">
        <f xml:space="preserve"> Ratings!O63</f>
        <v>4</v>
      </c>
      <c r="D5" s="31">
        <f xml:space="preserve"> Ratings!O64</f>
        <v>11</v>
      </c>
      <c r="E5" s="31">
        <f xml:space="preserve"> Ratings!O65</f>
        <v>6</v>
      </c>
      <c r="F5" s="31">
        <f xml:space="preserve"> Ratings!O66</f>
        <v>9</v>
      </c>
      <c r="G5" s="31">
        <f xml:space="preserve"> Ratings!O67</f>
        <v>10</v>
      </c>
      <c r="H5" s="31">
        <f xml:space="preserve"> Ratings!O68</f>
        <v>11</v>
      </c>
      <c r="I5" s="61">
        <f t="shared" si="0"/>
        <v>60</v>
      </c>
    </row>
    <row r="6" spans="1:9" x14ac:dyDescent="0.25">
      <c r="A6" s="62" t="s">
        <v>271</v>
      </c>
      <c r="B6" s="31">
        <f xml:space="preserve"> Ratings!Q62</f>
        <v>8</v>
      </c>
      <c r="C6" s="31">
        <f xml:space="preserve"> Ratings!Q63</f>
        <v>9</v>
      </c>
      <c r="D6" s="31">
        <f xml:space="preserve"> Ratings!Q64</f>
        <v>9</v>
      </c>
      <c r="E6" s="31">
        <f xml:space="preserve"> Ratings!Q65</f>
        <v>6</v>
      </c>
      <c r="F6" s="31">
        <f xml:space="preserve"> Ratings!Q66</f>
        <v>11</v>
      </c>
      <c r="G6" s="31">
        <f xml:space="preserve"> Ratings!Q67</f>
        <v>9</v>
      </c>
      <c r="H6" s="31">
        <f xml:space="preserve"> Ratings!Q68</f>
        <v>8</v>
      </c>
      <c r="I6" s="61">
        <f t="shared" si="0"/>
        <v>60</v>
      </c>
    </row>
    <row r="7" spans="1:9" x14ac:dyDescent="0.25">
      <c r="A7" s="60" t="s">
        <v>272</v>
      </c>
      <c r="B7" s="31">
        <f xml:space="preserve"> Ratings!V62</f>
        <v>9</v>
      </c>
      <c r="C7" s="31">
        <f xml:space="preserve"> Ratings!V63</f>
        <v>11</v>
      </c>
      <c r="D7" s="31">
        <f xml:space="preserve"> Ratings!V64</f>
        <v>11</v>
      </c>
      <c r="E7" s="31">
        <f xml:space="preserve"> Ratings!V65</f>
        <v>11</v>
      </c>
      <c r="F7" s="31">
        <f xml:space="preserve"> Ratings!V66</f>
        <v>11</v>
      </c>
      <c r="G7" s="31">
        <f xml:space="preserve"> Ratings!V67</f>
        <v>11</v>
      </c>
      <c r="H7" s="31">
        <f xml:space="preserve"> Ratings!V68</f>
        <v>11</v>
      </c>
      <c r="I7" s="61">
        <f t="shared" si="0"/>
        <v>75</v>
      </c>
    </row>
    <row r="8" spans="1:9" x14ac:dyDescent="0.25">
      <c r="A8" s="60" t="s">
        <v>203</v>
      </c>
      <c r="B8" s="31">
        <f xml:space="preserve"> Ratings!Z62</f>
        <v>11</v>
      </c>
      <c r="C8" s="31">
        <f xml:space="preserve"> Ratings!Z63</f>
        <v>11</v>
      </c>
      <c r="D8" s="31">
        <f xml:space="preserve"> Ratings!Z64</f>
        <v>11</v>
      </c>
      <c r="E8" s="31">
        <f xml:space="preserve"> Ratings!Z65</f>
        <v>11</v>
      </c>
      <c r="F8" s="31">
        <f xml:space="preserve"> Ratings!Z66</f>
        <v>11</v>
      </c>
      <c r="G8" s="31">
        <f xml:space="preserve"> Ratings!Z67</f>
        <v>11</v>
      </c>
      <c r="H8" s="31">
        <f xml:space="preserve"> Ratings!Z68</f>
        <v>11</v>
      </c>
      <c r="I8" s="61">
        <f t="shared" si="0"/>
        <v>77</v>
      </c>
    </row>
    <row r="9" spans="1:9" x14ac:dyDescent="0.25">
      <c r="A9" s="60" t="s">
        <v>273</v>
      </c>
      <c r="B9" s="31">
        <f>Ratings!AI62</f>
        <v>22</v>
      </c>
      <c r="C9" s="31">
        <f>Ratings!AI63</f>
        <v>18</v>
      </c>
      <c r="D9" s="31">
        <f>Ratings!AI64</f>
        <v>22</v>
      </c>
      <c r="E9" s="31">
        <f>Ratings!AI65</f>
        <v>22</v>
      </c>
      <c r="F9" s="31">
        <f>Ratings!AI66</f>
        <v>22</v>
      </c>
      <c r="G9" s="31">
        <f>Ratings!AI67</f>
        <v>22</v>
      </c>
      <c r="H9" s="31">
        <f>Ratings!AI68</f>
        <v>20</v>
      </c>
      <c r="I9" s="61">
        <f t="shared" si="0"/>
        <v>148</v>
      </c>
    </row>
    <row r="10" spans="1:9" x14ac:dyDescent="0.25">
      <c r="A10" s="60" t="s">
        <v>274</v>
      </c>
      <c r="B10" s="31">
        <f>Ratings!AK62</f>
        <v>4</v>
      </c>
      <c r="C10" s="31">
        <f>Ratings!AK63</f>
        <v>5</v>
      </c>
      <c r="D10" s="31">
        <f>Ratings!AK64</f>
        <v>4</v>
      </c>
      <c r="E10" s="31">
        <f>Ratings!AK65</f>
        <v>6</v>
      </c>
      <c r="F10" s="31">
        <f>Ratings!AK66</f>
        <v>11</v>
      </c>
      <c r="G10" s="31">
        <f>Ratings!AK67</f>
        <v>3</v>
      </c>
      <c r="H10" s="31">
        <f>Ratings!AK68</f>
        <v>3</v>
      </c>
      <c r="I10" s="61">
        <f t="shared" si="0"/>
        <v>36</v>
      </c>
    </row>
    <row r="11" spans="1:9" x14ac:dyDescent="0.25">
      <c r="A11" s="60" t="s">
        <v>275</v>
      </c>
      <c r="B11" s="31">
        <f>Ratings!AM62</f>
        <v>0</v>
      </c>
      <c r="C11" s="31">
        <f>Ratings!AM63</f>
        <v>9</v>
      </c>
      <c r="D11" s="31">
        <f>Ratings!AM64</f>
        <v>9</v>
      </c>
      <c r="E11" s="31">
        <f>Ratings!AM65</f>
        <v>10</v>
      </c>
      <c r="F11" s="31">
        <f>Ratings!AM66</f>
        <v>10</v>
      </c>
      <c r="G11" s="31">
        <f>Ratings!AM67</f>
        <v>9</v>
      </c>
      <c r="H11" s="31">
        <f>Ratings!AM68</f>
        <v>8</v>
      </c>
      <c r="I11" s="61">
        <f t="shared" si="0"/>
        <v>55</v>
      </c>
    </row>
    <row r="12" spans="1:9" x14ac:dyDescent="0.25">
      <c r="A12" s="60" t="s">
        <v>139</v>
      </c>
      <c r="B12" s="31">
        <f>Ratings!AO62</f>
        <v>8</v>
      </c>
      <c r="C12" s="31">
        <f>Ratings!AO63</f>
        <v>11</v>
      </c>
      <c r="D12" s="31">
        <f>Ratings!AO64</f>
        <v>11</v>
      </c>
      <c r="E12" s="31">
        <f>Ratings!AO65</f>
        <v>11</v>
      </c>
      <c r="F12" s="31">
        <f>Ratings!AO66</f>
        <v>11</v>
      </c>
      <c r="G12" s="31">
        <f>Ratings!AO67</f>
        <v>11</v>
      </c>
      <c r="H12" s="31">
        <f>Ratings!AO68</f>
        <v>11</v>
      </c>
      <c r="I12" s="61">
        <f t="shared" si="0"/>
        <v>74</v>
      </c>
    </row>
    <row r="13" spans="1:9" x14ac:dyDescent="0.25">
      <c r="A13" s="60" t="s">
        <v>276</v>
      </c>
      <c r="B13" s="31">
        <f>Ratings!AQ62</f>
        <v>4</v>
      </c>
      <c r="C13" s="31">
        <f>Ratings!AQ63</f>
        <v>11</v>
      </c>
      <c r="D13" s="31">
        <f>Ratings!AQ64</f>
        <v>11</v>
      </c>
      <c r="E13" s="31">
        <f>Ratings!AQ65</f>
        <v>11</v>
      </c>
      <c r="F13" s="31">
        <f>Ratings!AQ66</f>
        <v>11</v>
      </c>
      <c r="G13" s="31">
        <f>Ratings!AQ67</f>
        <v>11</v>
      </c>
      <c r="H13" s="31">
        <f>Ratings!AQ68</f>
        <v>9</v>
      </c>
      <c r="I13" s="61">
        <f>SUM(B13:H13)</f>
        <v>68</v>
      </c>
    </row>
    <row r="14" spans="1:9" x14ac:dyDescent="0.25">
      <c r="A14" s="60" t="s">
        <v>277</v>
      </c>
      <c r="B14" s="167">
        <f>Ratings!$AU$62</f>
        <v>15</v>
      </c>
      <c r="C14" s="167">
        <f>Ratings!$AU$62</f>
        <v>15</v>
      </c>
      <c r="D14" s="167">
        <f>Ratings!$AU$62</f>
        <v>15</v>
      </c>
      <c r="E14" s="167">
        <f>Ratings!$AU$62</f>
        <v>15</v>
      </c>
      <c r="F14" s="167">
        <f>Ratings!$AU$62</f>
        <v>15</v>
      </c>
      <c r="G14" s="167">
        <f>Ratings!$AU$62</f>
        <v>15</v>
      </c>
      <c r="H14" s="167">
        <f>Ratings!$AU$62</f>
        <v>15</v>
      </c>
      <c r="I14" s="61">
        <f>SUM(B14:H14)/7</f>
        <v>15</v>
      </c>
    </row>
    <row r="15" spans="1:9" x14ac:dyDescent="0.25">
      <c r="A15" s="60" t="s">
        <v>278</v>
      </c>
      <c r="B15" s="31">
        <f>Ratings!AY62</f>
        <v>13</v>
      </c>
      <c r="C15" s="31">
        <f>Ratings!AY63</f>
        <v>14</v>
      </c>
      <c r="D15" s="31">
        <f>Ratings!AY64</f>
        <v>17</v>
      </c>
      <c r="E15" s="31">
        <f>Ratings!AY65</f>
        <v>16</v>
      </c>
      <c r="F15" s="31">
        <f>Ratings!AY66</f>
        <v>18</v>
      </c>
      <c r="G15" s="31">
        <f>Ratings!AY67</f>
        <v>13</v>
      </c>
      <c r="H15" s="31">
        <f>Ratings!AY68</f>
        <v>13</v>
      </c>
      <c r="I15" s="61">
        <f t="shared" si="0"/>
        <v>104</v>
      </c>
    </row>
    <row r="16" spans="1:9" x14ac:dyDescent="0.25">
      <c r="A16" s="60" t="s">
        <v>249</v>
      </c>
      <c r="B16" s="31">
        <f>Ratings!BA62</f>
        <v>0</v>
      </c>
      <c r="C16" s="31">
        <f>Ratings!BA63</f>
        <v>0</v>
      </c>
      <c r="D16" s="31">
        <f>Ratings!BA64</f>
        <v>0</v>
      </c>
      <c r="E16" s="31">
        <f>Ratings!BA65</f>
        <v>11</v>
      </c>
      <c r="F16" s="31">
        <f>Ratings!BA66</f>
        <v>11</v>
      </c>
      <c r="G16" s="31">
        <f>Ratings!BA67</f>
        <v>0</v>
      </c>
      <c r="H16" s="31">
        <f>Ratings!BA68</f>
        <v>0</v>
      </c>
      <c r="I16" s="61">
        <f t="shared" si="0"/>
        <v>22</v>
      </c>
    </row>
    <row r="17" spans="1:9" x14ac:dyDescent="0.25">
      <c r="A17" s="60" t="s">
        <v>136</v>
      </c>
      <c r="B17" s="31">
        <f>Ratings!BC62</f>
        <v>11</v>
      </c>
      <c r="C17" s="31">
        <f>Ratings!BC63</f>
        <v>11</v>
      </c>
      <c r="D17" s="31">
        <f>Ratings!BC64</f>
        <v>11</v>
      </c>
      <c r="E17" s="31">
        <f>Ratings!BC65</f>
        <v>11</v>
      </c>
      <c r="F17" s="31">
        <f>Ratings!BC66</f>
        <v>11</v>
      </c>
      <c r="G17" s="31">
        <f>Ratings!BC67</f>
        <v>11</v>
      </c>
      <c r="H17" s="31">
        <f>Ratings!BC68</f>
        <v>11</v>
      </c>
      <c r="I17" s="61">
        <f t="shared" si="0"/>
        <v>77</v>
      </c>
    </row>
    <row r="18" spans="1:9" x14ac:dyDescent="0.25">
      <c r="A18" s="60" t="s">
        <v>279</v>
      </c>
      <c r="B18" s="31">
        <f>Ratings!BG62</f>
        <v>8</v>
      </c>
      <c r="C18" s="31">
        <f>Ratings!BG63</f>
        <v>12</v>
      </c>
      <c r="D18" s="31">
        <f>+Ratings!BG64</f>
        <v>12</v>
      </c>
      <c r="E18" s="31">
        <f>Ratings!BG65</f>
        <v>12</v>
      </c>
      <c r="F18" s="31">
        <f>Ratings!BG66</f>
        <v>12</v>
      </c>
      <c r="G18" s="31">
        <f>Ratings!BG67</f>
        <v>12</v>
      </c>
      <c r="H18" s="31">
        <f>Ratings!BG68</f>
        <v>12</v>
      </c>
      <c r="I18" s="61">
        <f t="shared" si="0"/>
        <v>80</v>
      </c>
    </row>
    <row r="19" spans="1:9" x14ac:dyDescent="0.25">
      <c r="A19" s="60" t="s">
        <v>280</v>
      </c>
      <c r="B19" s="31">
        <f>Ratings!BK62</f>
        <v>9</v>
      </c>
      <c r="C19" s="31">
        <f>Ratings!BK63</f>
        <v>6</v>
      </c>
      <c r="D19" s="31">
        <f>Ratings!BK64</f>
        <v>9</v>
      </c>
      <c r="E19" s="31">
        <f>Ratings!BK65</f>
        <v>9</v>
      </c>
      <c r="F19" s="31">
        <f>Ratings!BK66</f>
        <v>9</v>
      </c>
      <c r="G19" s="31">
        <f>Ratings!BK67</f>
        <v>9</v>
      </c>
      <c r="H19" s="31">
        <f>Ratings!BK68</f>
        <v>6</v>
      </c>
      <c r="I19" s="61">
        <f t="shared" si="0"/>
        <v>57</v>
      </c>
    </row>
    <row r="20" spans="1:9" x14ac:dyDescent="0.25">
      <c r="A20" s="30"/>
      <c r="B20" s="31"/>
      <c r="C20" s="31"/>
      <c r="D20" s="31"/>
      <c r="E20" s="31"/>
      <c r="F20" s="31"/>
      <c r="G20" s="31"/>
      <c r="H20" s="31"/>
      <c r="I20" s="31"/>
    </row>
    <row r="21" spans="1:9" ht="18.75" x14ac:dyDescent="0.25">
      <c r="A21" s="32" t="s">
        <v>281</v>
      </c>
      <c r="B21" s="6">
        <f t="shared" ref="B21:H21" si="1">SUM(B3:B19)-B14</f>
        <v>136</v>
      </c>
      <c r="C21" s="6">
        <f t="shared" si="1"/>
        <v>141</v>
      </c>
      <c r="D21" s="6">
        <f t="shared" si="1"/>
        <v>169</v>
      </c>
      <c r="E21" s="6">
        <f t="shared" si="1"/>
        <v>174</v>
      </c>
      <c r="F21" s="6">
        <f t="shared" si="1"/>
        <v>187</v>
      </c>
      <c r="G21" s="6">
        <f t="shared" si="1"/>
        <v>163</v>
      </c>
      <c r="H21" s="6">
        <f t="shared" si="1"/>
        <v>153</v>
      </c>
      <c r="I21" s="64">
        <f>SUM(I3:I19)/7</f>
        <v>162.57142857142858</v>
      </c>
    </row>
    <row r="22" spans="1:9" ht="18.75" x14ac:dyDescent="0.25">
      <c r="A22" s="32" t="s">
        <v>282</v>
      </c>
      <c r="B22" s="6">
        <f>Ratings!D62</f>
        <v>35</v>
      </c>
      <c r="C22" s="6">
        <f>Ratings!D63</f>
        <v>30</v>
      </c>
      <c r="D22" s="6">
        <f>Ratings!D64</f>
        <v>4</v>
      </c>
      <c r="E22" s="6">
        <f>Ratings!D65</f>
        <v>3</v>
      </c>
      <c r="F22" s="6">
        <f>Ratings!D66</f>
        <v>1</v>
      </c>
      <c r="G22" s="6">
        <f>Ratings!D67</f>
        <v>8</v>
      </c>
      <c r="H22" s="6">
        <f>Ratings!D68</f>
        <v>17</v>
      </c>
      <c r="I22" s="6"/>
    </row>
  </sheetData>
  <pageMargins left="0.45" right="0.2" top="0.25" bottom="0.25" header="0.3" footer="0.3"/>
  <pageSetup orientation="landscape" r:id="rId1"/>
  <ignoredErrors>
    <ignoredError sqref="D9:E9 F9:H9 B11:H11 B16:C16 G16:H16 D19:H19 B19:C19 B9:C9 D16:F16" emptyCellReferenc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952A9-6E67-424C-A94A-9BC472B7C4E4}">
  <sheetPr>
    <tabColor theme="4" tint="-0.249977111117893"/>
  </sheetPr>
  <dimension ref="A1:N22"/>
  <sheetViews>
    <sheetView workbookViewId="0">
      <selection activeCell="N15" sqref="N15"/>
    </sheetView>
  </sheetViews>
  <sheetFormatPr defaultRowHeight="15" x14ac:dyDescent="0.25"/>
  <cols>
    <col min="1" max="1" width="22.42578125" customWidth="1"/>
    <col min="2" max="13" width="6.7109375" customWidth="1"/>
    <col min="14" max="14" width="15.28515625" customWidth="1"/>
  </cols>
  <sheetData>
    <row r="1" spans="1:14" ht="18.75" x14ac:dyDescent="0.4">
      <c r="A1" s="58" t="s">
        <v>267</v>
      </c>
      <c r="B1" s="59">
        <v>97</v>
      </c>
      <c r="C1" s="59">
        <v>146</v>
      </c>
      <c r="D1" s="59">
        <v>154</v>
      </c>
      <c r="E1" s="59">
        <v>206</v>
      </c>
      <c r="F1" s="59">
        <v>268</v>
      </c>
      <c r="G1" s="59">
        <v>327</v>
      </c>
      <c r="H1" s="59">
        <v>350</v>
      </c>
      <c r="I1" s="59">
        <v>460</v>
      </c>
      <c r="J1" s="59">
        <v>941</v>
      </c>
      <c r="K1" s="59">
        <v>1172</v>
      </c>
      <c r="L1" s="59">
        <v>1183</v>
      </c>
      <c r="M1" s="59">
        <v>1565</v>
      </c>
      <c r="N1" s="58" t="s">
        <v>61</v>
      </c>
    </row>
    <row r="2" spans="1:14" ht="18.75" x14ac:dyDescent="0.25">
      <c r="A2" s="32" t="s">
        <v>268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pans="1:14" x14ac:dyDescent="0.25">
      <c r="A3" s="60" t="s">
        <v>269</v>
      </c>
      <c r="B3" s="31">
        <f xml:space="preserve"> Ratings!H72</f>
        <v>11</v>
      </c>
      <c r="C3" s="31">
        <f xml:space="preserve">  Ratings!H73</f>
        <v>10</v>
      </c>
      <c r="D3" s="31">
        <f xml:space="preserve"> Ratings!H74</f>
        <v>5</v>
      </c>
      <c r="E3" s="31">
        <f xml:space="preserve"> Ratings!H75</f>
        <v>11</v>
      </c>
      <c r="F3" s="31">
        <f xml:space="preserve"> Ratings!H76</f>
        <v>0</v>
      </c>
      <c r="G3" s="31">
        <f xml:space="preserve"> Ratings!H77</f>
        <v>11</v>
      </c>
      <c r="H3" s="31">
        <f xml:space="preserve"> Ratings!H78</f>
        <v>11</v>
      </c>
      <c r="I3" s="31">
        <f xml:space="preserve"> Ratings!H79</f>
        <v>11</v>
      </c>
      <c r="J3" s="31">
        <f xml:space="preserve"> Ratings!H80</f>
        <v>10</v>
      </c>
      <c r="K3" s="31">
        <f xml:space="preserve"> Ratings!H81</f>
        <v>11</v>
      </c>
      <c r="L3" s="31">
        <f xml:space="preserve"> Ratings!H82</f>
        <v>10</v>
      </c>
      <c r="M3" s="31">
        <f xml:space="preserve"> Ratings!H83</f>
        <v>11</v>
      </c>
      <c r="N3" s="61">
        <f t="shared" ref="N3:N12" si="0">SUM(B3:M3)</f>
        <v>112</v>
      </c>
    </row>
    <row r="4" spans="1:14" x14ac:dyDescent="0.25">
      <c r="A4" s="60" t="s">
        <v>133</v>
      </c>
      <c r="B4" s="31">
        <f xml:space="preserve"> Ratings!J72</f>
        <v>8</v>
      </c>
      <c r="C4" s="31">
        <f xml:space="preserve"> Ratings!J73</f>
        <v>10</v>
      </c>
      <c r="D4" s="31">
        <f xml:space="preserve"> Ratings!J74</f>
        <v>9</v>
      </c>
      <c r="E4" s="31">
        <f xml:space="preserve"> Ratings!J75</f>
        <v>10</v>
      </c>
      <c r="F4" s="31">
        <f xml:space="preserve"> Ratings!J76</f>
        <v>9</v>
      </c>
      <c r="G4" s="31">
        <f xml:space="preserve"> Ratings!J77</f>
        <v>10</v>
      </c>
      <c r="H4" s="31">
        <f xml:space="preserve"> Ratings!J78</f>
        <v>10</v>
      </c>
      <c r="I4" s="31">
        <f xml:space="preserve"> Ratings!J79</f>
        <v>10</v>
      </c>
      <c r="J4" s="31">
        <f xml:space="preserve"> Ratings!J80</f>
        <v>9</v>
      </c>
      <c r="K4" s="31">
        <f xml:space="preserve"> Ratings!J81</f>
        <v>10</v>
      </c>
      <c r="L4" s="31">
        <f xml:space="preserve"> Ratings!J82</f>
        <v>10</v>
      </c>
      <c r="M4" s="31">
        <f xml:space="preserve"> Ratings!J83</f>
        <v>10</v>
      </c>
      <c r="N4" s="61">
        <f t="shared" si="0"/>
        <v>115</v>
      </c>
    </row>
    <row r="5" spans="1:14" x14ac:dyDescent="0.25">
      <c r="A5" s="60" t="s">
        <v>270</v>
      </c>
      <c r="B5" s="31">
        <f xml:space="preserve"> Ratings!O72</f>
        <v>11</v>
      </c>
      <c r="C5" s="31">
        <f xml:space="preserve"> Ratings!O73</f>
        <v>11</v>
      </c>
      <c r="D5" s="31">
        <f xml:space="preserve"> Ratings!O74</f>
        <v>5</v>
      </c>
      <c r="E5" s="31">
        <f xml:space="preserve"> Ratings!O75</f>
        <v>4</v>
      </c>
      <c r="F5" s="31">
        <f xml:space="preserve"> Ratings!O76</f>
        <v>5</v>
      </c>
      <c r="G5" s="31">
        <f xml:space="preserve"> Ratings!O77</f>
        <v>6</v>
      </c>
      <c r="H5" s="31">
        <f xml:space="preserve"> Ratings!O78</f>
        <v>11</v>
      </c>
      <c r="I5" s="31">
        <f xml:space="preserve"> Ratings!O79</f>
        <v>11</v>
      </c>
      <c r="J5" s="31">
        <f xml:space="preserve"> Ratings!O80</f>
        <v>10</v>
      </c>
      <c r="K5" s="31">
        <f xml:space="preserve"> Ratings!O81</f>
        <v>5</v>
      </c>
      <c r="L5" s="31">
        <f xml:space="preserve"> Ratings!O82</f>
        <v>11</v>
      </c>
      <c r="M5" s="31">
        <f xml:space="preserve"> Ratings!O83</f>
        <v>6</v>
      </c>
      <c r="N5" s="61">
        <f t="shared" si="0"/>
        <v>96</v>
      </c>
    </row>
    <row r="6" spans="1:14" x14ac:dyDescent="0.25">
      <c r="A6" s="62" t="s">
        <v>271</v>
      </c>
      <c r="B6" s="31">
        <f xml:space="preserve"> Ratings!Q72</f>
        <v>9</v>
      </c>
      <c r="C6" s="31">
        <f xml:space="preserve"> Ratings!Q73</f>
        <v>2</v>
      </c>
      <c r="D6" s="31">
        <f xml:space="preserve"> Ratings!Q74</f>
        <v>5</v>
      </c>
      <c r="E6" s="31">
        <f xml:space="preserve"> Ratings!Q75</f>
        <v>5</v>
      </c>
      <c r="F6" s="31">
        <f xml:space="preserve"> Ratings!Q76</f>
        <v>8</v>
      </c>
      <c r="G6" s="31">
        <f xml:space="preserve"> Ratings!Q77</f>
        <v>5</v>
      </c>
      <c r="H6" s="31">
        <f xml:space="preserve"> Ratings!Q78</f>
        <v>3</v>
      </c>
      <c r="I6" s="31">
        <f xml:space="preserve"> Ratings!Q79</f>
        <v>5</v>
      </c>
      <c r="J6" s="31">
        <f xml:space="preserve"> Ratings!Q80</f>
        <v>5</v>
      </c>
      <c r="K6" s="31">
        <f xml:space="preserve"> Ratings!Q81</f>
        <v>2</v>
      </c>
      <c r="L6" s="31">
        <f xml:space="preserve"> Ratings!Q82</f>
        <v>5</v>
      </c>
      <c r="M6" s="31">
        <f xml:space="preserve"> Ratings!Q83</f>
        <v>5</v>
      </c>
      <c r="N6" s="61">
        <f t="shared" si="0"/>
        <v>59</v>
      </c>
    </row>
    <row r="7" spans="1:14" x14ac:dyDescent="0.25">
      <c r="A7" s="60" t="s">
        <v>272</v>
      </c>
      <c r="B7" s="31">
        <f xml:space="preserve"> Ratings!V72</f>
        <v>2</v>
      </c>
      <c r="C7" s="31">
        <f xml:space="preserve"> Ratings!V73</f>
        <v>0</v>
      </c>
      <c r="D7" s="31">
        <f xml:space="preserve"> Ratings!V74</f>
        <v>0</v>
      </c>
      <c r="E7" s="31">
        <f xml:space="preserve"> Ratings!V75</f>
        <v>11</v>
      </c>
      <c r="F7" s="31">
        <f xml:space="preserve"> Ratings!V76</f>
        <v>8</v>
      </c>
      <c r="G7" s="31">
        <f xml:space="preserve"> Ratings!V77</f>
        <v>11</v>
      </c>
      <c r="H7" s="31">
        <f xml:space="preserve"> Ratings!V78</f>
        <v>0</v>
      </c>
      <c r="I7" s="31">
        <f xml:space="preserve"> Ratings!V79</f>
        <v>10</v>
      </c>
      <c r="J7" s="31">
        <f xml:space="preserve"> Ratings!V80</f>
        <v>8</v>
      </c>
      <c r="K7" s="31">
        <f xml:space="preserve"> Ratings!V81</f>
        <v>7</v>
      </c>
      <c r="L7" s="31">
        <f xml:space="preserve"> Ratings!V82</f>
        <v>9</v>
      </c>
      <c r="M7" s="31">
        <f xml:space="preserve"> Ratings!V83</f>
        <v>11</v>
      </c>
      <c r="N7" s="61">
        <f t="shared" si="0"/>
        <v>77</v>
      </c>
    </row>
    <row r="8" spans="1:14" x14ac:dyDescent="0.25">
      <c r="A8" s="60" t="s">
        <v>203</v>
      </c>
      <c r="B8" s="31">
        <f xml:space="preserve"> Ratings!Z72</f>
        <v>0</v>
      </c>
      <c r="C8" s="31">
        <f xml:space="preserve"> Ratings!Z73</f>
        <v>0</v>
      </c>
      <c r="D8" s="31">
        <f xml:space="preserve"> Ratings!Z74</f>
        <v>0</v>
      </c>
      <c r="E8" s="31">
        <f xml:space="preserve"> Ratings!Z75</f>
        <v>11</v>
      </c>
      <c r="F8" s="31">
        <f xml:space="preserve"> Ratings!Z76</f>
        <v>8</v>
      </c>
      <c r="G8" s="31">
        <f xml:space="preserve"> Ratings!Z77</f>
        <v>11</v>
      </c>
      <c r="H8" s="31">
        <f xml:space="preserve"> Ratings!Z78</f>
        <v>0</v>
      </c>
      <c r="I8" s="31">
        <f xml:space="preserve"> Ratings!Z79</f>
        <v>11</v>
      </c>
      <c r="J8" s="31">
        <f xml:space="preserve"> Ratings!Z80</f>
        <v>10</v>
      </c>
      <c r="K8" s="31">
        <f xml:space="preserve"> Ratings!Z81</f>
        <v>0</v>
      </c>
      <c r="L8" s="31">
        <f xml:space="preserve"> Ratings!Z82</f>
        <v>10</v>
      </c>
      <c r="M8" s="31">
        <f xml:space="preserve"> Ratings!Z83</f>
        <v>9</v>
      </c>
      <c r="N8" s="61">
        <f t="shared" si="0"/>
        <v>70</v>
      </c>
    </row>
    <row r="9" spans="1:14" x14ac:dyDescent="0.25">
      <c r="A9" s="60" t="s">
        <v>273</v>
      </c>
      <c r="B9" s="31">
        <f>Ratings!AI72</f>
        <v>14</v>
      </c>
      <c r="C9" s="31">
        <f>Ratings!AI73</f>
        <v>22</v>
      </c>
      <c r="D9" s="31">
        <f>Ratings!AI74</f>
        <v>12</v>
      </c>
      <c r="E9" s="31">
        <f>Ratings!AI75</f>
        <v>20</v>
      </c>
      <c r="F9" s="31">
        <f>Ratings!AI76</f>
        <v>22</v>
      </c>
      <c r="G9" s="31">
        <f>Ratings!AI77</f>
        <v>20</v>
      </c>
      <c r="H9" s="31">
        <f xml:space="preserve"> Ratings!AI78</f>
        <v>10</v>
      </c>
      <c r="I9" s="31">
        <f>Ratings!AI79</f>
        <v>22</v>
      </c>
      <c r="J9" s="31">
        <f>Ratings!AI80</f>
        <v>20</v>
      </c>
      <c r="K9" s="31">
        <f>Ratings!AI81</f>
        <v>6</v>
      </c>
      <c r="L9" s="31">
        <f>Ratings!AI82</f>
        <v>22</v>
      </c>
      <c r="M9" s="31">
        <f>Ratings!AI83</f>
        <v>14</v>
      </c>
      <c r="N9" s="61">
        <f t="shared" si="0"/>
        <v>204</v>
      </c>
    </row>
    <row r="10" spans="1:14" x14ac:dyDescent="0.25">
      <c r="A10" s="60" t="s">
        <v>274</v>
      </c>
      <c r="B10" s="31">
        <f>Ratings!AK72</f>
        <v>6</v>
      </c>
      <c r="C10" s="31">
        <f>Ratings!AK73</f>
        <v>3</v>
      </c>
      <c r="D10" s="31">
        <f>Ratings!AK74</f>
        <v>6</v>
      </c>
      <c r="E10" s="31">
        <f>Ratings!AK75</f>
        <v>6</v>
      </c>
      <c r="F10" s="31">
        <f>Ratings!AK76</f>
        <v>7</v>
      </c>
      <c r="G10" s="31">
        <f>Ratings!AK77</f>
        <v>11</v>
      </c>
      <c r="H10" s="31">
        <f>Ratings!AK78</f>
        <v>5</v>
      </c>
      <c r="I10" s="31">
        <f>Ratings!AK79</f>
        <v>11</v>
      </c>
      <c r="J10" s="31">
        <f>Ratings!AK80</f>
        <v>6</v>
      </c>
      <c r="K10" s="31">
        <f>Ratings!AK81</f>
        <v>6</v>
      </c>
      <c r="L10" s="31">
        <f>Ratings!AK82</f>
        <v>6</v>
      </c>
      <c r="M10" s="31">
        <f>Ratings!AK83</f>
        <v>11</v>
      </c>
      <c r="N10" s="61">
        <f t="shared" si="0"/>
        <v>84</v>
      </c>
    </row>
    <row r="11" spans="1:14" x14ac:dyDescent="0.25">
      <c r="A11" s="60" t="s">
        <v>275</v>
      </c>
      <c r="B11" s="31">
        <f>Ratings!AM72</f>
        <v>9</v>
      </c>
      <c r="C11" s="31">
        <f>Ratings!AM73</f>
        <v>0</v>
      </c>
      <c r="D11" s="31">
        <f>Ratings!AM74</f>
        <v>8</v>
      </c>
      <c r="E11" s="31">
        <f>Ratings!AM75</f>
        <v>10</v>
      </c>
      <c r="F11" s="31">
        <f>Ratings!AM76</f>
        <v>8</v>
      </c>
      <c r="G11" s="31">
        <f>Ratings!AM77</f>
        <v>9</v>
      </c>
      <c r="H11" s="31">
        <f>+Ratings!AM78</f>
        <v>0</v>
      </c>
      <c r="I11" s="31">
        <f>Ratings!AM79</f>
        <v>9</v>
      </c>
      <c r="J11" s="31">
        <f>Ratings!AM80</f>
        <v>9</v>
      </c>
      <c r="K11" s="31">
        <f>Ratings!AM81</f>
        <v>8</v>
      </c>
      <c r="L11" s="31">
        <f>Ratings!AM82</f>
        <v>9</v>
      </c>
      <c r="M11" s="31">
        <f>Ratings!AM83</f>
        <v>8</v>
      </c>
      <c r="N11" s="61">
        <f t="shared" si="0"/>
        <v>87</v>
      </c>
    </row>
    <row r="12" spans="1:14" x14ac:dyDescent="0.25">
      <c r="A12" s="60" t="s">
        <v>139</v>
      </c>
      <c r="B12" s="31">
        <f>Ratings!AO72</f>
        <v>0</v>
      </c>
      <c r="C12" s="31">
        <f>Ratings!AO73</f>
        <v>0</v>
      </c>
      <c r="D12" s="31">
        <f>Ratings!AO74</f>
        <v>0</v>
      </c>
      <c r="E12" s="31">
        <f>Ratings!AO75</f>
        <v>11</v>
      </c>
      <c r="F12" s="31">
        <f>Ratings!AO76</f>
        <v>8</v>
      </c>
      <c r="G12" s="31">
        <f>Ratings!AO77</f>
        <v>8</v>
      </c>
      <c r="H12" s="31">
        <f>Ratings!AO78</f>
        <v>0</v>
      </c>
      <c r="I12" s="31">
        <f>Ratings!AO79</f>
        <v>11</v>
      </c>
      <c r="J12" s="31">
        <f>Ratings!AO80</f>
        <v>8</v>
      </c>
      <c r="K12" s="31">
        <f>Ratings!AO81</f>
        <v>11</v>
      </c>
      <c r="L12" s="31">
        <f>Ratings!AO82</f>
        <v>8</v>
      </c>
      <c r="M12" s="31">
        <f>Ratings!AO83</f>
        <v>8</v>
      </c>
      <c r="N12" s="61">
        <f t="shared" si="0"/>
        <v>73</v>
      </c>
    </row>
    <row r="13" spans="1:14" x14ac:dyDescent="0.25">
      <c r="A13" s="60" t="s">
        <v>276</v>
      </c>
      <c r="B13" s="31">
        <f>Ratings!AQ72</f>
        <v>0</v>
      </c>
      <c r="C13" s="31">
        <f>Ratings!AQ73</f>
        <v>0</v>
      </c>
      <c r="D13" s="31">
        <f>Ratings!AQ74</f>
        <v>0</v>
      </c>
      <c r="E13" s="31">
        <f>Ratings!AQ75</f>
        <v>2</v>
      </c>
      <c r="F13" s="31">
        <f>Ratings!AQ76</f>
        <v>0</v>
      </c>
      <c r="G13" s="31">
        <f>Ratings!AQ77</f>
        <v>2</v>
      </c>
      <c r="H13" s="31">
        <f>Ratings!AQ78</f>
        <v>0</v>
      </c>
      <c r="I13" s="31">
        <f>Ratings!AQ79</f>
        <v>11</v>
      </c>
      <c r="J13" s="31">
        <f>Ratings!AQ80</f>
        <v>11</v>
      </c>
      <c r="K13" s="31">
        <f>Ratings!AQ81</f>
        <v>1</v>
      </c>
      <c r="L13" s="31">
        <f>Ratings!AQ82</f>
        <v>5</v>
      </c>
      <c r="M13" s="31">
        <f>Ratings!AQ83</f>
        <v>1</v>
      </c>
      <c r="N13" s="61">
        <f>SUM(B13:M13)</f>
        <v>33</v>
      </c>
    </row>
    <row r="14" spans="1:14" x14ac:dyDescent="0.25">
      <c r="A14" s="60" t="s">
        <v>277</v>
      </c>
      <c r="B14" s="167">
        <f>Ratings!$AU$72</f>
        <v>12</v>
      </c>
      <c r="C14" s="167">
        <f>Ratings!$AU$72</f>
        <v>12</v>
      </c>
      <c r="D14" s="167">
        <f>Ratings!$AU$72</f>
        <v>12</v>
      </c>
      <c r="E14" s="167">
        <f>Ratings!$AU$72</f>
        <v>12</v>
      </c>
      <c r="F14" s="167">
        <f>Ratings!$AU$72</f>
        <v>12</v>
      </c>
      <c r="G14" s="167">
        <f>Ratings!$AU$72</f>
        <v>12</v>
      </c>
      <c r="H14" s="167">
        <f>Ratings!$AU$72</f>
        <v>12</v>
      </c>
      <c r="I14" s="167">
        <f>Ratings!$AU$72</f>
        <v>12</v>
      </c>
      <c r="J14" s="167">
        <f>Ratings!$AU$72</f>
        <v>12</v>
      </c>
      <c r="K14" s="167">
        <f>Ratings!$AU$72</f>
        <v>12</v>
      </c>
      <c r="L14" s="167">
        <f>Ratings!$AU$72</f>
        <v>12</v>
      </c>
      <c r="M14" s="167">
        <f>Ratings!$AU$72</f>
        <v>12</v>
      </c>
      <c r="N14" s="61">
        <f>SUM(B14:M14)/12</f>
        <v>12</v>
      </c>
    </row>
    <row r="15" spans="1:14" x14ac:dyDescent="0.25">
      <c r="A15" s="60" t="s">
        <v>278</v>
      </c>
      <c r="B15" s="31">
        <f>Ratings!AY72</f>
        <v>14</v>
      </c>
      <c r="C15" s="31">
        <f>Ratings!AY73</f>
        <v>10</v>
      </c>
      <c r="D15" s="31">
        <f>Ratings!AY74</f>
        <v>9</v>
      </c>
      <c r="E15" s="31">
        <f>Ratings!AY75</f>
        <v>6</v>
      </c>
      <c r="F15" s="31">
        <f>Ratings!AY76</f>
        <v>11</v>
      </c>
      <c r="G15" s="31">
        <f>Ratings!AY77</f>
        <v>5</v>
      </c>
      <c r="H15" s="31">
        <f>Ratings!AY78</f>
        <v>6</v>
      </c>
      <c r="I15" s="31">
        <f>Ratings!AY79</f>
        <v>14</v>
      </c>
      <c r="J15" s="31">
        <f>Ratings!AY80</f>
        <v>11</v>
      </c>
      <c r="K15" s="31">
        <f>Ratings!AY81</f>
        <v>7</v>
      </c>
      <c r="L15" s="31">
        <f>Ratings!AY82</f>
        <v>12</v>
      </c>
      <c r="M15" s="31">
        <f>Ratings!AY83</f>
        <v>8</v>
      </c>
      <c r="N15" s="61">
        <f t="shared" ref="N15:N19" si="1">SUM(B15:M15)</f>
        <v>113</v>
      </c>
    </row>
    <row r="16" spans="1:14" x14ac:dyDescent="0.25">
      <c r="A16" s="60" t="s">
        <v>249</v>
      </c>
      <c r="B16" s="31">
        <f>Ratings!BA72</f>
        <v>0</v>
      </c>
      <c r="C16" s="31">
        <f>Ratings!BA73</f>
        <v>0</v>
      </c>
      <c r="D16" s="31">
        <f>Ratings!BA74</f>
        <v>0</v>
      </c>
      <c r="E16" s="31">
        <f>Ratings!BA75</f>
        <v>0</v>
      </c>
      <c r="F16" s="31">
        <f>Ratings!BA76</f>
        <v>0</v>
      </c>
      <c r="G16" s="31">
        <f>Ratings!BA77</f>
        <v>0</v>
      </c>
      <c r="H16" s="31">
        <f>Ratings!BA78</f>
        <v>0</v>
      </c>
      <c r="I16" s="31">
        <f>Ratings!BA79</f>
        <v>0</v>
      </c>
      <c r="J16" s="31">
        <f>Ratings!BA80</f>
        <v>0</v>
      </c>
      <c r="K16" s="31">
        <f>Ratings!BA81</f>
        <v>0</v>
      </c>
      <c r="L16" s="31">
        <f>Ratings!BA82</f>
        <v>11</v>
      </c>
      <c r="M16" s="31">
        <f>Ratings!BA83</f>
        <v>0</v>
      </c>
      <c r="N16" s="61">
        <f t="shared" si="1"/>
        <v>11</v>
      </c>
    </row>
    <row r="17" spans="1:14" x14ac:dyDescent="0.25">
      <c r="A17" s="60" t="s">
        <v>136</v>
      </c>
      <c r="B17" s="31">
        <f>Ratings!BC72</f>
        <v>11</v>
      </c>
      <c r="C17" s="31">
        <f>Ratings!BC73</f>
        <v>11</v>
      </c>
      <c r="D17" s="31">
        <f>Ratings!BC74</f>
        <v>11</v>
      </c>
      <c r="E17" s="31">
        <f>Ratings!BC75</f>
        <v>11</v>
      </c>
      <c r="F17" s="31">
        <f>Ratings!BC76</f>
        <v>11</v>
      </c>
      <c r="G17" s="31">
        <f>Ratings!BC77</f>
        <v>11</v>
      </c>
      <c r="H17" s="31">
        <f>Ratings!BC78</f>
        <v>11</v>
      </c>
      <c r="I17" s="31">
        <f>Ratings!BC79</f>
        <v>11</v>
      </c>
      <c r="J17" s="31">
        <f>Ratings!BC80</f>
        <v>11</v>
      </c>
      <c r="K17" s="31">
        <f>Ratings!BC81</f>
        <v>0</v>
      </c>
      <c r="L17" s="31">
        <f>Ratings!BC82</f>
        <v>11</v>
      </c>
      <c r="M17" s="31">
        <f>Ratings!BC83</f>
        <v>11</v>
      </c>
      <c r="N17" s="61">
        <f t="shared" si="1"/>
        <v>121</v>
      </c>
    </row>
    <row r="18" spans="1:14" x14ac:dyDescent="0.25">
      <c r="A18" s="60" t="s">
        <v>279</v>
      </c>
      <c r="B18" s="31">
        <f>Ratings!BG72</f>
        <v>0</v>
      </c>
      <c r="C18" s="31">
        <f>Ratings!BG73</f>
        <v>12</v>
      </c>
      <c r="D18" s="31">
        <f>Ratings!BG74</f>
        <v>5</v>
      </c>
      <c r="E18" s="31">
        <f>Ratings!BG75</f>
        <v>8</v>
      </c>
      <c r="F18" s="31">
        <f>Ratings!BG76</f>
        <v>8</v>
      </c>
      <c r="G18" s="31">
        <f>Ratings!BG77</f>
        <v>4</v>
      </c>
      <c r="H18" s="31">
        <f>Ratings!BG78</f>
        <v>4</v>
      </c>
      <c r="I18" s="31">
        <f>Ratings!BG79</f>
        <v>11</v>
      </c>
      <c r="J18" s="31">
        <f>Ratings!BG80</f>
        <v>4</v>
      </c>
      <c r="K18" s="31">
        <f>Ratings!BG81</f>
        <v>5</v>
      </c>
      <c r="L18" s="31">
        <f>Ratings!BG82</f>
        <v>8</v>
      </c>
      <c r="M18" s="31">
        <f>Ratings!BG83</f>
        <v>5</v>
      </c>
      <c r="N18" s="61">
        <f t="shared" si="1"/>
        <v>74</v>
      </c>
    </row>
    <row r="19" spans="1:14" x14ac:dyDescent="0.25">
      <c r="A19" s="60" t="s">
        <v>280</v>
      </c>
      <c r="B19" s="31">
        <f>Ratings!BK72</f>
        <v>6</v>
      </c>
      <c r="C19" s="31">
        <f>Ratings!BK73</f>
        <v>9</v>
      </c>
      <c r="D19" s="31">
        <f>Ratings!BK74</f>
        <v>2</v>
      </c>
      <c r="E19" s="31">
        <f>Ratings!BK75</f>
        <v>7</v>
      </c>
      <c r="F19" s="31">
        <f>Ratings!BK76</f>
        <v>8</v>
      </c>
      <c r="G19" s="31">
        <f>Ratings!BK77</f>
        <v>3</v>
      </c>
      <c r="H19" s="31">
        <f>Ratings!BK78</f>
        <v>4</v>
      </c>
      <c r="I19" s="31">
        <f>Ratings!BK79</f>
        <v>9</v>
      </c>
      <c r="J19" s="31">
        <f>Ratings!BK80</f>
        <v>3</v>
      </c>
      <c r="K19" s="31">
        <f>Ratings!BK81</f>
        <v>3</v>
      </c>
      <c r="L19" s="31">
        <f>Ratings!BK82</f>
        <v>6</v>
      </c>
      <c r="M19" s="31">
        <f>Ratings!BK83</f>
        <v>1</v>
      </c>
      <c r="N19" s="61">
        <f t="shared" si="1"/>
        <v>61</v>
      </c>
    </row>
    <row r="20" spans="1:14" x14ac:dyDescent="0.25">
      <c r="A20" s="30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</row>
    <row r="21" spans="1:14" ht="18.75" x14ac:dyDescent="0.25">
      <c r="A21" s="32" t="s">
        <v>281</v>
      </c>
      <c r="B21" s="6">
        <f t="shared" ref="B21:M21" si="2">SUM(B3:B19)-B14</f>
        <v>101</v>
      </c>
      <c r="C21" s="6">
        <f t="shared" si="2"/>
        <v>100</v>
      </c>
      <c r="D21" s="6">
        <f t="shared" si="2"/>
        <v>77</v>
      </c>
      <c r="E21" s="6">
        <f t="shared" si="2"/>
        <v>133</v>
      </c>
      <c r="F21" s="6">
        <f t="shared" si="2"/>
        <v>121</v>
      </c>
      <c r="G21" s="6">
        <f t="shared" si="2"/>
        <v>127</v>
      </c>
      <c r="H21" s="6">
        <f t="shared" si="2"/>
        <v>75</v>
      </c>
      <c r="I21" s="6">
        <f t="shared" si="2"/>
        <v>167</v>
      </c>
      <c r="J21" s="6">
        <f t="shared" si="2"/>
        <v>135</v>
      </c>
      <c r="K21" s="6">
        <f t="shared" si="2"/>
        <v>82</v>
      </c>
      <c r="L21" s="6">
        <f t="shared" si="2"/>
        <v>153</v>
      </c>
      <c r="M21" s="6">
        <f t="shared" si="2"/>
        <v>119</v>
      </c>
      <c r="N21" s="64">
        <f>SUM(N3:N19)/12</f>
        <v>116.83333333333333</v>
      </c>
    </row>
    <row r="22" spans="1:14" ht="18.75" x14ac:dyDescent="0.25">
      <c r="A22" s="32" t="s">
        <v>282</v>
      </c>
      <c r="B22" s="6">
        <f>Ratings!D72</f>
        <v>83</v>
      </c>
      <c r="C22" s="6">
        <f>Ratings!D73</f>
        <v>85</v>
      </c>
      <c r="D22" s="6">
        <f>Ratings!D74</f>
        <v>95</v>
      </c>
      <c r="E22" s="6">
        <f>Ratings!D75</f>
        <v>42</v>
      </c>
      <c r="F22" s="6">
        <f>Ratings!D76</f>
        <v>59</v>
      </c>
      <c r="G22" s="6">
        <f>Ratings!D77</f>
        <v>50</v>
      </c>
      <c r="H22" s="6">
        <f>Ratings!D78</f>
        <v>98</v>
      </c>
      <c r="I22" s="6">
        <f>Ratings!D79</f>
        <v>5</v>
      </c>
      <c r="J22" s="6">
        <f>Ratings!D80</f>
        <v>37</v>
      </c>
      <c r="K22" s="6">
        <f>Ratings!D81</f>
        <v>96</v>
      </c>
      <c r="L22" s="6">
        <f>Ratings!D82</f>
        <v>17</v>
      </c>
      <c r="M22" s="6">
        <f>Ratings!D83</f>
        <v>62</v>
      </c>
      <c r="N22" s="6"/>
    </row>
  </sheetData>
  <pageMargins left="0.45" right="0.2" top="0.25" bottom="0.25" header="0.3" footer="0.3"/>
  <pageSetup orientation="landscape" r:id="rId1"/>
  <ignoredErrors>
    <ignoredError sqref="J9:M9 I11:J11 M11 E16:K16 D19:E19 H19:M19 D9 B9:C9 E9:I9 B11:H11 K11:L11 B16:D16 L16:M16 B19:C19 F19:G19" emptyCellReferenc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781BF-8D09-4A40-BFF0-1C8993E0BB21}">
  <sheetPr>
    <tabColor rgb="FF92D050"/>
  </sheetPr>
  <dimension ref="A1:K22"/>
  <sheetViews>
    <sheetView workbookViewId="0">
      <selection activeCell="F14" sqref="F14"/>
    </sheetView>
  </sheetViews>
  <sheetFormatPr defaultRowHeight="15" x14ac:dyDescent="0.25"/>
  <cols>
    <col min="1" max="1" width="24" customWidth="1"/>
    <col min="2" max="10" width="8.7109375" customWidth="1"/>
    <col min="11" max="11" width="13.7109375" customWidth="1"/>
  </cols>
  <sheetData>
    <row r="1" spans="1:11" ht="18.75" x14ac:dyDescent="0.4">
      <c r="A1" s="58" t="s">
        <v>267</v>
      </c>
      <c r="B1" s="59">
        <v>16</v>
      </c>
      <c r="C1" s="59">
        <v>20</v>
      </c>
      <c r="D1" s="59">
        <v>31</v>
      </c>
      <c r="E1" s="59">
        <v>172</v>
      </c>
      <c r="F1" s="59">
        <v>194</v>
      </c>
      <c r="G1" s="59">
        <v>209</v>
      </c>
      <c r="H1" s="59">
        <v>461</v>
      </c>
      <c r="I1" s="59">
        <v>1358</v>
      </c>
      <c r="J1" s="59">
        <v>1625</v>
      </c>
      <c r="K1" s="59" t="s">
        <v>48</v>
      </c>
    </row>
    <row r="2" spans="1:11" ht="18.75" x14ac:dyDescent="0.25">
      <c r="A2" s="32" t="s">
        <v>268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x14ac:dyDescent="0.25">
      <c r="A3" s="60" t="s">
        <v>269</v>
      </c>
      <c r="B3" s="31">
        <f>Ratings!H87</f>
        <v>11</v>
      </c>
      <c r="C3" s="31">
        <f xml:space="preserve"> Ratings!H88</f>
        <v>4</v>
      </c>
      <c r="D3" s="31">
        <f xml:space="preserve"> Ratings!H89</f>
        <v>10</v>
      </c>
      <c r="E3" s="31">
        <f xml:space="preserve"> Ratings!H90</f>
        <v>11</v>
      </c>
      <c r="F3" s="31">
        <f xml:space="preserve"> Ratings!H91</f>
        <v>11</v>
      </c>
      <c r="G3" s="31">
        <f xml:space="preserve"> Ratings!H92</f>
        <v>11</v>
      </c>
      <c r="H3" s="31">
        <f xml:space="preserve"> Ratings!H93</f>
        <v>3</v>
      </c>
      <c r="I3" s="31">
        <f xml:space="preserve"> Ratings!H94</f>
        <v>11</v>
      </c>
      <c r="J3" s="31">
        <f xml:space="preserve"> Ratings!H95</f>
        <v>3</v>
      </c>
      <c r="K3" s="61">
        <f t="shared" ref="K3:K12" si="0">SUM(B3:J3)</f>
        <v>75</v>
      </c>
    </row>
    <row r="4" spans="1:11" x14ac:dyDescent="0.25">
      <c r="A4" s="60" t="s">
        <v>133</v>
      </c>
      <c r="B4" s="31">
        <f xml:space="preserve"> Ratings!J87</f>
        <v>9</v>
      </c>
      <c r="C4" s="31">
        <f xml:space="preserve"> Ratings!J88</f>
        <v>6</v>
      </c>
      <c r="D4" s="31">
        <f xml:space="preserve"> Ratings!J89</f>
        <v>11</v>
      </c>
      <c r="E4" s="31">
        <f xml:space="preserve"> Ratings!J90</f>
        <v>10</v>
      </c>
      <c r="F4" s="31">
        <f xml:space="preserve"> Ratings!J91</f>
        <v>9</v>
      </c>
      <c r="G4" s="31">
        <f xml:space="preserve"> Ratings!J92</f>
        <v>10</v>
      </c>
      <c r="H4" s="31">
        <f xml:space="preserve"> Ratings!J93</f>
        <v>10</v>
      </c>
      <c r="I4" s="31">
        <f xml:space="preserve"> Ratings!J94</f>
        <v>10</v>
      </c>
      <c r="J4" s="31">
        <f xml:space="preserve"> Ratings!J95</f>
        <v>6</v>
      </c>
      <c r="K4" s="61">
        <f t="shared" si="0"/>
        <v>81</v>
      </c>
    </row>
    <row r="5" spans="1:11" x14ac:dyDescent="0.25">
      <c r="A5" s="60" t="s">
        <v>270</v>
      </c>
      <c r="B5" s="31">
        <f xml:space="preserve"> Ratings!O87</f>
        <v>10</v>
      </c>
      <c r="C5" s="31">
        <f xml:space="preserve"> Ratings!O88</f>
        <v>1</v>
      </c>
      <c r="D5" s="31">
        <f xml:space="preserve"> Ratings!O89</f>
        <v>6</v>
      </c>
      <c r="E5" s="31">
        <f xml:space="preserve"> Ratings!O90</f>
        <v>11</v>
      </c>
      <c r="F5" s="31">
        <f xml:space="preserve"> Ratings!O91</f>
        <v>6</v>
      </c>
      <c r="G5" s="31">
        <f xml:space="preserve"> Ratings!O92</f>
        <v>7</v>
      </c>
      <c r="H5" s="31">
        <f xml:space="preserve"> Ratings!O93</f>
        <v>6</v>
      </c>
      <c r="I5" s="31">
        <f xml:space="preserve"> Ratings!O94</f>
        <v>5</v>
      </c>
      <c r="J5" s="31">
        <f xml:space="preserve"> Ratings!O95</f>
        <v>6</v>
      </c>
      <c r="K5" s="61">
        <f t="shared" si="0"/>
        <v>58</v>
      </c>
    </row>
    <row r="6" spans="1:11" x14ac:dyDescent="0.25">
      <c r="A6" s="62" t="s">
        <v>271</v>
      </c>
      <c r="B6" s="31">
        <f xml:space="preserve"> Ratings!Q87</f>
        <v>8</v>
      </c>
      <c r="C6" s="31">
        <f xml:space="preserve"> Ratings!Q88</f>
        <v>5</v>
      </c>
      <c r="D6" s="31">
        <f xml:space="preserve"> Ratings!Q89</f>
        <v>5</v>
      </c>
      <c r="E6" s="31">
        <f xml:space="preserve"> Ratings!Q90</f>
        <v>8</v>
      </c>
      <c r="F6" s="31">
        <f xml:space="preserve"> Ratings!Q91</f>
        <v>6</v>
      </c>
      <c r="G6" s="31">
        <f xml:space="preserve"> Ratings!Q92</f>
        <v>6</v>
      </c>
      <c r="H6" s="31">
        <f xml:space="preserve"> Ratings!Q93</f>
        <v>2</v>
      </c>
      <c r="I6" s="31">
        <f xml:space="preserve"> Ratings!Q94</f>
        <v>4</v>
      </c>
      <c r="J6" s="31">
        <f xml:space="preserve"> Ratings!Q95</f>
        <v>4</v>
      </c>
      <c r="K6" s="61">
        <f t="shared" si="0"/>
        <v>48</v>
      </c>
    </row>
    <row r="7" spans="1:11" x14ac:dyDescent="0.25">
      <c r="A7" s="60" t="s">
        <v>272</v>
      </c>
      <c r="B7" s="31">
        <f xml:space="preserve"> Ratings!V87</f>
        <v>11</v>
      </c>
      <c r="C7" s="31">
        <f xml:space="preserve"> Ratings!V88</f>
        <v>0</v>
      </c>
      <c r="D7" s="31">
        <f xml:space="preserve"> Ratings!V89</f>
        <v>0</v>
      </c>
      <c r="E7" s="31">
        <f xml:space="preserve"> Ratings!V90</f>
        <v>8</v>
      </c>
      <c r="F7" s="31">
        <f xml:space="preserve"> Ratings!V91</f>
        <v>11</v>
      </c>
      <c r="G7" s="31">
        <f xml:space="preserve"> Ratings!V92</f>
        <v>7</v>
      </c>
      <c r="H7" s="31">
        <f xml:space="preserve"> Ratings!V93</f>
        <v>11</v>
      </c>
      <c r="I7" s="31">
        <f xml:space="preserve"> Ratings!V94</f>
        <v>8</v>
      </c>
      <c r="J7" s="31">
        <f xml:space="preserve"> Ratings!V95</f>
        <v>2</v>
      </c>
      <c r="K7" s="61">
        <f t="shared" si="0"/>
        <v>58</v>
      </c>
    </row>
    <row r="8" spans="1:11" x14ac:dyDescent="0.25">
      <c r="A8" s="60" t="s">
        <v>203</v>
      </c>
      <c r="B8" s="31">
        <f xml:space="preserve"> Ratings!Z87</f>
        <v>10</v>
      </c>
      <c r="C8" s="31">
        <f xml:space="preserve"> Ratings!Z88</f>
        <v>11</v>
      </c>
      <c r="D8" s="31">
        <f xml:space="preserve"> Ratings!Z89</f>
        <v>0</v>
      </c>
      <c r="E8" s="31">
        <f xml:space="preserve"> Ratings!Z90</f>
        <v>9</v>
      </c>
      <c r="F8" s="31">
        <f xml:space="preserve"> Ratings!Z91</f>
        <v>11</v>
      </c>
      <c r="G8" s="31">
        <f xml:space="preserve"> Ratings!Z92</f>
        <v>11</v>
      </c>
      <c r="H8" s="31">
        <f xml:space="preserve"> Ratings!Z93</f>
        <v>11</v>
      </c>
      <c r="I8" s="31">
        <f xml:space="preserve"> Ratings!Z94</f>
        <v>11</v>
      </c>
      <c r="J8" s="31">
        <f xml:space="preserve"> Ratings!Z95</f>
        <v>11</v>
      </c>
      <c r="K8" s="61">
        <f t="shared" si="0"/>
        <v>85</v>
      </c>
    </row>
    <row r="9" spans="1:11" x14ac:dyDescent="0.25">
      <c r="A9" s="60" t="s">
        <v>273</v>
      </c>
      <c r="B9" s="31">
        <f>Ratings!AI87</f>
        <v>22</v>
      </c>
      <c r="C9" s="31">
        <f>Ratings!AI88</f>
        <v>20</v>
      </c>
      <c r="D9" s="31">
        <f>Ratings!AI89</f>
        <v>16</v>
      </c>
      <c r="E9" s="31">
        <f>Ratings!AI90</f>
        <v>20</v>
      </c>
      <c r="F9" s="31">
        <f>Ratings!AI91</f>
        <v>22</v>
      </c>
      <c r="G9" s="31">
        <f>Ratings!AI92</f>
        <v>20</v>
      </c>
      <c r="H9" s="31">
        <f>Ratings!AI93</f>
        <v>20</v>
      </c>
      <c r="I9" s="31">
        <f>Ratings!AI94</f>
        <v>22</v>
      </c>
      <c r="J9" s="31">
        <f>Ratings!AI95</f>
        <v>10</v>
      </c>
      <c r="K9" s="61">
        <f t="shared" si="0"/>
        <v>172</v>
      </c>
    </row>
    <row r="10" spans="1:11" x14ac:dyDescent="0.25">
      <c r="A10" s="60" t="s">
        <v>274</v>
      </c>
      <c r="B10" s="31">
        <f>Ratings!AK87</f>
        <v>4</v>
      </c>
      <c r="C10" s="31">
        <f>Ratings!AK88</f>
        <v>6</v>
      </c>
      <c r="D10" s="31">
        <f>Ratings!AK89</f>
        <v>0</v>
      </c>
      <c r="E10" s="31">
        <f>Ratings!AK90</f>
        <v>11</v>
      </c>
      <c r="F10" s="31">
        <f>Ratings!AK91</f>
        <v>11</v>
      </c>
      <c r="G10" s="31">
        <f>Ratings!AK92</f>
        <v>5</v>
      </c>
      <c r="H10" s="31">
        <f>Ratings!AK93</f>
        <v>5</v>
      </c>
      <c r="I10" s="31">
        <f>Ratings!AK94</f>
        <v>3</v>
      </c>
      <c r="J10" s="31">
        <f>Ratings!AK95</f>
        <v>11</v>
      </c>
      <c r="K10" s="61">
        <f t="shared" si="0"/>
        <v>56</v>
      </c>
    </row>
    <row r="11" spans="1:11" x14ac:dyDescent="0.25">
      <c r="A11" s="60" t="s">
        <v>275</v>
      </c>
      <c r="B11" s="31">
        <f>Ratings!AM87</f>
        <v>8</v>
      </c>
      <c r="C11" s="31">
        <f>Ratings!AM88</f>
        <v>9</v>
      </c>
      <c r="D11" s="31">
        <f>Ratings!AM89</f>
        <v>8</v>
      </c>
      <c r="E11" s="31">
        <f>Ratings!AM90</f>
        <v>8</v>
      </c>
      <c r="F11" s="31">
        <f>Ratings!AM91</f>
        <v>8</v>
      </c>
      <c r="G11" s="31">
        <f>Ratings!AM92</f>
        <v>0</v>
      </c>
      <c r="H11" s="31">
        <f>Ratings!AM93</f>
        <v>10</v>
      </c>
      <c r="I11" s="31">
        <f>Ratings!AM94</f>
        <v>8</v>
      </c>
      <c r="J11" s="31">
        <f>-Ratings!AM95</f>
        <v>-8</v>
      </c>
      <c r="K11" s="61">
        <f t="shared" si="0"/>
        <v>51</v>
      </c>
    </row>
    <row r="12" spans="1:11" x14ac:dyDescent="0.25">
      <c r="A12" s="60" t="s">
        <v>139</v>
      </c>
      <c r="B12" s="31">
        <f>Ratings!AO87</f>
        <v>8</v>
      </c>
      <c r="C12" s="31">
        <f>Ratings!AO88</f>
        <v>11</v>
      </c>
      <c r="D12" s="31">
        <f>Ratings!AO89</f>
        <v>0</v>
      </c>
      <c r="E12" s="31">
        <f>Ratings!AO90</f>
        <v>8</v>
      </c>
      <c r="F12" s="31">
        <f>Ratings!AO91</f>
        <v>8</v>
      </c>
      <c r="G12" s="31">
        <f>Ratings!AO92</f>
        <v>11</v>
      </c>
      <c r="H12" s="31">
        <f>Ratings!AO93</f>
        <v>8</v>
      </c>
      <c r="I12" s="31">
        <f>Ratings!AO94</f>
        <v>8</v>
      </c>
      <c r="J12" s="31">
        <f>Ratings!AO95</f>
        <v>0</v>
      </c>
      <c r="K12" s="61">
        <f t="shared" si="0"/>
        <v>62</v>
      </c>
    </row>
    <row r="13" spans="1:11" x14ac:dyDescent="0.25">
      <c r="A13" s="60" t="s">
        <v>276</v>
      </c>
      <c r="B13" s="31">
        <f>Ratings!AQ87</f>
        <v>6</v>
      </c>
      <c r="C13" s="31">
        <f>Ratings!AQ88</f>
        <v>11</v>
      </c>
      <c r="D13" s="31">
        <f>Ratings!AQ89</f>
        <v>0</v>
      </c>
      <c r="E13" s="31">
        <f>Ratings!AQ90</f>
        <v>1</v>
      </c>
      <c r="F13" s="31">
        <f>Ratings!AQ91</f>
        <v>3</v>
      </c>
      <c r="G13" s="31">
        <f>Ratings!AQ92</f>
        <v>1</v>
      </c>
      <c r="H13" s="31">
        <f>Ratings!AQ93</f>
        <v>0</v>
      </c>
      <c r="I13" s="31">
        <f>Ratings!AQ94</f>
        <v>2</v>
      </c>
      <c r="J13" s="31">
        <f>Ratings!AQ95</f>
        <v>0</v>
      </c>
      <c r="K13" s="61">
        <f>SUM(B13:J13)</f>
        <v>24</v>
      </c>
    </row>
    <row r="14" spans="1:11" x14ac:dyDescent="0.25">
      <c r="A14" s="60" t="s">
        <v>277</v>
      </c>
      <c r="B14" s="167">
        <f>Ratings!$AU$87</f>
        <v>15</v>
      </c>
      <c r="C14" s="167">
        <f>Ratings!$AU$87</f>
        <v>15</v>
      </c>
      <c r="D14" s="167">
        <f>Ratings!$AU$87</f>
        <v>15</v>
      </c>
      <c r="E14" s="167">
        <f>Ratings!$AU$87</f>
        <v>15</v>
      </c>
      <c r="F14" s="167">
        <f>Ratings!$AU$87</f>
        <v>15</v>
      </c>
      <c r="G14" s="167">
        <f>Ratings!$AU$87</f>
        <v>15</v>
      </c>
      <c r="H14" s="167">
        <f>Ratings!$AU$87</f>
        <v>15</v>
      </c>
      <c r="I14" s="167">
        <f>Ratings!$AU$87</f>
        <v>15</v>
      </c>
      <c r="J14" s="167">
        <f>Ratings!$AU$87</f>
        <v>15</v>
      </c>
      <c r="K14" s="61">
        <f>SUM(B14:J14)/9</f>
        <v>15</v>
      </c>
    </row>
    <row r="15" spans="1:11" x14ac:dyDescent="0.25">
      <c r="A15" s="60" t="s">
        <v>278</v>
      </c>
      <c r="B15" s="31">
        <f>Ratings!AY87</f>
        <v>6</v>
      </c>
      <c r="C15" s="31">
        <f>Ratings!AY88</f>
        <v>17</v>
      </c>
      <c r="D15" s="31">
        <f>Ratings!AY89</f>
        <v>7</v>
      </c>
      <c r="E15" s="31">
        <f>Ratings!AY90</f>
        <v>15</v>
      </c>
      <c r="F15" s="31">
        <f>Ratings!AY91</f>
        <v>9</v>
      </c>
      <c r="G15" s="31">
        <f>Ratings!AY92</f>
        <v>8</v>
      </c>
      <c r="H15" s="31">
        <f>Ratings!AY93</f>
        <v>12</v>
      </c>
      <c r="I15" s="31">
        <f>Ratings!AY94</f>
        <v>9</v>
      </c>
      <c r="J15" s="31">
        <f>Ratings!AY95</f>
        <v>6</v>
      </c>
      <c r="K15" s="61">
        <f t="shared" ref="K15:K19" si="1">SUM(B15:J15)</f>
        <v>89</v>
      </c>
    </row>
    <row r="16" spans="1:11" x14ac:dyDescent="0.25">
      <c r="A16" s="60" t="s">
        <v>249</v>
      </c>
      <c r="B16" s="31">
        <f>Ratings!BA87</f>
        <v>0</v>
      </c>
      <c r="C16" s="31">
        <f>Ratings!BA88</f>
        <v>0</v>
      </c>
      <c r="D16" s="31">
        <f>Ratings!BA89</f>
        <v>0</v>
      </c>
      <c r="E16" s="31">
        <f>Ratings!BA90</f>
        <v>8</v>
      </c>
      <c r="F16" s="31">
        <f>Ratings!BA91</f>
        <v>0</v>
      </c>
      <c r="G16" s="31">
        <f>Ratings!BA92</f>
        <v>0</v>
      </c>
      <c r="H16" s="31">
        <f>Ratings!BA93</f>
        <v>0</v>
      </c>
      <c r="I16" s="31">
        <f>Ratings!BA94</f>
        <v>0</v>
      </c>
      <c r="J16" s="31">
        <f>Ratings!BA95</f>
        <v>0</v>
      </c>
      <c r="K16" s="61">
        <f t="shared" si="1"/>
        <v>8</v>
      </c>
    </row>
    <row r="17" spans="1:11" x14ac:dyDescent="0.25">
      <c r="A17" s="60" t="s">
        <v>136</v>
      </c>
      <c r="B17" s="31">
        <f>Ratings!BC87</f>
        <v>11</v>
      </c>
      <c r="C17" s="31">
        <f>Ratings!BC88</f>
        <v>0</v>
      </c>
      <c r="D17" s="31">
        <f>Ratings!BC89</f>
        <v>11</v>
      </c>
      <c r="E17" s="31">
        <f>Ratings!BC90</f>
        <v>11</v>
      </c>
      <c r="F17" s="31">
        <f>Ratings!BC91</f>
        <v>11</v>
      </c>
      <c r="G17" s="31">
        <f>Ratings!BC92</f>
        <v>11</v>
      </c>
      <c r="H17" s="31">
        <f>Ratings!BC93</f>
        <v>11</v>
      </c>
      <c r="I17" s="31">
        <f>Ratings!BC94</f>
        <v>11</v>
      </c>
      <c r="J17" s="31">
        <f>Ratings!BC95</f>
        <v>11</v>
      </c>
      <c r="K17" s="61">
        <f t="shared" si="1"/>
        <v>88</v>
      </c>
    </row>
    <row r="18" spans="1:11" x14ac:dyDescent="0.25">
      <c r="A18" s="60" t="s">
        <v>279</v>
      </c>
      <c r="B18" s="31">
        <f>Ratings!BG87</f>
        <v>4</v>
      </c>
      <c r="C18" s="31">
        <f>Ratings!BG88</f>
        <v>10</v>
      </c>
      <c r="D18" s="31">
        <f>Ratings!BG89</f>
        <v>1</v>
      </c>
      <c r="E18" s="31">
        <f>Ratings!BG90</f>
        <v>12</v>
      </c>
      <c r="F18" s="31">
        <f>Ratings!BG91</f>
        <v>10</v>
      </c>
      <c r="G18" s="31">
        <f>Ratings!BG92</f>
        <v>4</v>
      </c>
      <c r="H18" s="31">
        <f>Ratings!BG93</f>
        <v>1</v>
      </c>
      <c r="I18" s="31">
        <f>Ratings!BG94</f>
        <v>8</v>
      </c>
      <c r="J18" s="31">
        <f>Ratings!BG95</f>
        <v>2</v>
      </c>
      <c r="K18" s="61">
        <f t="shared" si="1"/>
        <v>52</v>
      </c>
    </row>
    <row r="19" spans="1:11" x14ac:dyDescent="0.25">
      <c r="A19" s="60" t="s">
        <v>280</v>
      </c>
      <c r="B19" s="31">
        <f>Ratings!BK87</f>
        <v>3</v>
      </c>
      <c r="C19" s="31">
        <f>Ratings!BK88</f>
        <v>9</v>
      </c>
      <c r="D19" s="31">
        <f>Ratings!BK89</f>
        <v>1</v>
      </c>
      <c r="E19" s="31">
        <f>Ratings!BK90</f>
        <v>6</v>
      </c>
      <c r="F19" s="31">
        <f>Ratings!BK91</f>
        <v>9</v>
      </c>
      <c r="G19" s="31">
        <f>Ratings!BK92</f>
        <v>3</v>
      </c>
      <c r="H19" s="31">
        <f>Ratings!BK93</f>
        <v>7</v>
      </c>
      <c r="I19" s="31">
        <f>Ratings!BK94</f>
        <v>3</v>
      </c>
      <c r="J19" s="31">
        <f>Ratings!BK95</f>
        <v>2</v>
      </c>
      <c r="K19" s="61">
        <f t="shared" si="1"/>
        <v>43</v>
      </c>
    </row>
    <row r="20" spans="1:11" x14ac:dyDescent="0.25">
      <c r="A20" s="30"/>
      <c r="B20" s="31"/>
      <c r="C20" s="31"/>
      <c r="D20" s="31"/>
      <c r="E20" s="31"/>
      <c r="F20" s="31"/>
      <c r="G20" s="31"/>
      <c r="H20" s="31"/>
      <c r="I20" s="31"/>
      <c r="J20" s="31"/>
      <c r="K20" s="31"/>
    </row>
    <row r="21" spans="1:11" ht="18.75" x14ac:dyDescent="0.25">
      <c r="A21" s="32" t="s">
        <v>281</v>
      </c>
      <c r="B21" s="6">
        <f t="shared" ref="B21:J21" si="2">SUM(B3:B19)-B14</f>
        <v>131</v>
      </c>
      <c r="C21" s="6">
        <f t="shared" si="2"/>
        <v>120</v>
      </c>
      <c r="D21" s="6">
        <f t="shared" si="2"/>
        <v>76</v>
      </c>
      <c r="E21" s="6">
        <f t="shared" si="2"/>
        <v>157</v>
      </c>
      <c r="F21" s="6">
        <f t="shared" si="2"/>
        <v>145</v>
      </c>
      <c r="G21" s="6">
        <f t="shared" si="2"/>
        <v>115</v>
      </c>
      <c r="H21" s="6">
        <f t="shared" si="2"/>
        <v>117</v>
      </c>
      <c r="I21" s="6">
        <f t="shared" si="2"/>
        <v>123</v>
      </c>
      <c r="J21" s="6">
        <f t="shared" si="2"/>
        <v>66</v>
      </c>
      <c r="K21" s="64">
        <f>SUM(K3:K19)/9</f>
        <v>118.33333333333333</v>
      </c>
    </row>
    <row r="22" spans="1:11" ht="18.75" x14ac:dyDescent="0.25">
      <c r="A22" s="32" t="s">
        <v>282</v>
      </c>
      <c r="B22" s="6">
        <f>Ratings!D87</f>
        <v>46</v>
      </c>
      <c r="C22" s="6">
        <f>Ratings!D88</f>
        <v>61</v>
      </c>
      <c r="D22" s="6">
        <f>Ratings!D89</f>
        <v>96</v>
      </c>
      <c r="E22" s="6">
        <f>Ratings!D90</f>
        <v>14</v>
      </c>
      <c r="F22" s="6">
        <f>Ratings!D91</f>
        <v>26</v>
      </c>
      <c r="G22" s="6">
        <f>Ratings!D92</f>
        <v>70</v>
      </c>
      <c r="H22" s="6">
        <f>Ratings!D93</f>
        <v>68</v>
      </c>
      <c r="I22" s="6">
        <f>Ratings!D94</f>
        <v>57</v>
      </c>
      <c r="J22" s="6">
        <f>Ratings!D95</f>
        <v>94</v>
      </c>
      <c r="K22" s="6"/>
    </row>
  </sheetData>
  <pageMargins left="0.2" right="0.2" top="0.25" bottom="0.25" header="0.3" footer="0.3"/>
  <pageSetup orientation="landscape" r:id="rId1"/>
  <ignoredErrors>
    <ignoredError sqref="E9:F9 B11 E11:J11 B16:F16 I16:J16 D19 E19:G19 B9:D9 G9:J9 C11:D11 G16:H16 B19:C19 H19:J19" emptyCellReferenc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57A8A-B27E-45FA-84A0-F50AA57CD726}">
  <sheetPr>
    <tabColor theme="4" tint="-0.249977111117893"/>
  </sheetPr>
  <dimension ref="A1:I22"/>
  <sheetViews>
    <sheetView workbookViewId="0">
      <selection activeCell="I22" sqref="I22"/>
    </sheetView>
  </sheetViews>
  <sheetFormatPr defaultRowHeight="15" x14ac:dyDescent="0.25"/>
  <cols>
    <col min="1" max="1" width="24" customWidth="1"/>
    <col min="2" max="8" width="8.7109375" customWidth="1"/>
    <col min="9" max="9" width="15.28515625" customWidth="1"/>
  </cols>
  <sheetData>
    <row r="1" spans="1:9" ht="18.75" x14ac:dyDescent="0.4">
      <c r="A1" s="58" t="s">
        <v>267</v>
      </c>
      <c r="B1" s="59">
        <v>86</v>
      </c>
      <c r="C1" s="59">
        <v>234</v>
      </c>
      <c r="D1" s="59">
        <v>236</v>
      </c>
      <c r="E1" s="59">
        <v>250</v>
      </c>
      <c r="F1" s="59">
        <v>298</v>
      </c>
      <c r="G1" s="59">
        <v>609</v>
      </c>
      <c r="H1" s="59">
        <v>1436</v>
      </c>
      <c r="I1" s="59" t="s">
        <v>38</v>
      </c>
    </row>
    <row r="2" spans="1:9" ht="18.75" x14ac:dyDescent="0.25">
      <c r="A2" s="32" t="s">
        <v>268</v>
      </c>
      <c r="B2" s="9"/>
      <c r="C2" s="9"/>
      <c r="D2" s="9"/>
      <c r="E2" s="9"/>
      <c r="F2" s="9"/>
      <c r="G2" s="9"/>
      <c r="H2" s="9"/>
      <c r="I2" s="9"/>
    </row>
    <row r="3" spans="1:9" x14ac:dyDescent="0.25">
      <c r="A3" s="60" t="s">
        <v>269</v>
      </c>
      <c r="B3" s="31">
        <f xml:space="preserve"> Ratings!H99</f>
        <v>6</v>
      </c>
      <c r="C3" s="31">
        <f xml:space="preserve"> Ratings!H100</f>
        <v>11</v>
      </c>
      <c r="D3" s="31">
        <f xml:space="preserve"> Ratings!H101</f>
        <v>9</v>
      </c>
      <c r="E3" s="31">
        <f xml:space="preserve"> Ratings!H102</f>
        <v>11</v>
      </c>
      <c r="F3" s="31">
        <f xml:space="preserve"> Ratings!H103</f>
        <v>9</v>
      </c>
      <c r="G3" s="31">
        <f xml:space="preserve">  Ratings!H104</f>
        <v>9</v>
      </c>
      <c r="H3" s="31">
        <f xml:space="preserve"> Ratings!H105</f>
        <v>9</v>
      </c>
      <c r="I3" s="61">
        <f t="shared" ref="I3:I13" si="0">SUM(B3:H3)</f>
        <v>64</v>
      </c>
    </row>
    <row r="4" spans="1:9" x14ac:dyDescent="0.25">
      <c r="A4" s="60" t="s">
        <v>133</v>
      </c>
      <c r="B4" s="31">
        <f xml:space="preserve"> Ratings!J99</f>
        <v>9</v>
      </c>
      <c r="C4" s="31">
        <f xml:space="preserve"> Ratings!J100</f>
        <v>9</v>
      </c>
      <c r="D4" s="31">
        <f xml:space="preserve"> Ratings!J101</f>
        <v>9</v>
      </c>
      <c r="E4" s="31">
        <f xml:space="preserve"> Ratings!J102</f>
        <v>9</v>
      </c>
      <c r="F4" s="31">
        <f xml:space="preserve"> Ratings!J103</f>
        <v>9</v>
      </c>
      <c r="G4" s="31">
        <f xml:space="preserve"> Ratings!J104</f>
        <v>8</v>
      </c>
      <c r="H4" s="31">
        <f xml:space="preserve"> Ratings!J105</f>
        <v>8</v>
      </c>
      <c r="I4" s="61">
        <f t="shared" si="0"/>
        <v>61</v>
      </c>
    </row>
    <row r="5" spans="1:9" x14ac:dyDescent="0.25">
      <c r="A5" s="60" t="s">
        <v>270</v>
      </c>
      <c r="B5" s="31">
        <f xml:space="preserve"> Ratings!O99</f>
        <v>7</v>
      </c>
      <c r="C5" s="31">
        <f xml:space="preserve"> Ratings!O100</f>
        <v>9</v>
      </c>
      <c r="D5" s="31">
        <f xml:space="preserve"> Ratings!O101</f>
        <v>11</v>
      </c>
      <c r="E5" s="31">
        <f xml:space="preserve"> Ratings!O102</f>
        <v>3</v>
      </c>
      <c r="F5" s="31">
        <f xml:space="preserve"> Ratings!O103</f>
        <v>10</v>
      </c>
      <c r="G5" s="31">
        <f xml:space="preserve"> Ratings!O104</f>
        <v>11</v>
      </c>
      <c r="H5" s="31">
        <f xml:space="preserve"> Ratings!O105</f>
        <v>5</v>
      </c>
      <c r="I5" s="61">
        <f t="shared" si="0"/>
        <v>56</v>
      </c>
    </row>
    <row r="6" spans="1:9" x14ac:dyDescent="0.25">
      <c r="A6" s="62" t="s">
        <v>271</v>
      </c>
      <c r="B6" s="31">
        <f xml:space="preserve"> Ratings!Q99</f>
        <v>5</v>
      </c>
      <c r="C6" s="31">
        <f xml:space="preserve"> Ratings!Q100</f>
        <v>8</v>
      </c>
      <c r="D6" s="31">
        <f xml:space="preserve"> Ratings!Q101</f>
        <v>5</v>
      </c>
      <c r="E6" s="31">
        <f xml:space="preserve"> Ratings!Q102</f>
        <v>6</v>
      </c>
      <c r="F6" s="31">
        <f xml:space="preserve"> Ratings!Q103</f>
        <v>6</v>
      </c>
      <c r="G6" s="31">
        <f xml:space="preserve"> Ratings!Q104</f>
        <v>8</v>
      </c>
      <c r="H6" s="31">
        <f xml:space="preserve"> Ratings!Q105</f>
        <v>6</v>
      </c>
      <c r="I6" s="61">
        <f t="shared" si="0"/>
        <v>44</v>
      </c>
    </row>
    <row r="7" spans="1:9" x14ac:dyDescent="0.25">
      <c r="A7" s="60" t="s">
        <v>272</v>
      </c>
      <c r="B7" s="31">
        <f xml:space="preserve"> Ratings!V99</f>
        <v>0</v>
      </c>
      <c r="C7" s="31">
        <f xml:space="preserve"> Ratings!V100</f>
        <v>1</v>
      </c>
      <c r="D7" s="31">
        <f xml:space="preserve"> Ratings!V101</f>
        <v>0</v>
      </c>
      <c r="E7" s="31">
        <f xml:space="preserve"> Ratings!V102</f>
        <v>11</v>
      </c>
      <c r="F7" s="31">
        <f xml:space="preserve"> Ratings!V103</f>
        <v>3</v>
      </c>
      <c r="G7" s="31">
        <f xml:space="preserve"> Ratings!V104</f>
        <v>11</v>
      </c>
      <c r="H7" s="31">
        <f xml:space="preserve"> Ratings!V105</f>
        <v>9</v>
      </c>
      <c r="I7" s="61">
        <f t="shared" si="0"/>
        <v>35</v>
      </c>
    </row>
    <row r="8" spans="1:9" x14ac:dyDescent="0.25">
      <c r="A8" s="60" t="s">
        <v>203</v>
      </c>
      <c r="B8" s="31">
        <f xml:space="preserve"> Ratings!Z99</f>
        <v>0</v>
      </c>
      <c r="C8" s="31">
        <f xml:space="preserve"> Ratings!Z100</f>
        <v>9</v>
      </c>
      <c r="D8" s="31">
        <f xml:space="preserve"> Ratings!Z101</f>
        <v>4</v>
      </c>
      <c r="E8" s="31">
        <f>Ratings!Z102</f>
        <v>11</v>
      </c>
      <c r="F8" s="31">
        <f xml:space="preserve"> Ratings!Z103</f>
        <v>9</v>
      </c>
      <c r="G8" s="31">
        <f xml:space="preserve"> Ratings!Z104</f>
        <v>9</v>
      </c>
      <c r="H8" s="31">
        <f xml:space="preserve"> Ratings!Z105</f>
        <v>11</v>
      </c>
      <c r="I8" s="61">
        <f t="shared" si="0"/>
        <v>53</v>
      </c>
    </row>
    <row r="9" spans="1:9" x14ac:dyDescent="0.25">
      <c r="A9" s="60" t="s">
        <v>273</v>
      </c>
      <c r="B9" s="31">
        <f>Ratings!AI99</f>
        <v>6</v>
      </c>
      <c r="C9" s="31">
        <f>Ratings!AI100</f>
        <v>20</v>
      </c>
      <c r="D9" s="31">
        <f>Ratings!AI101</f>
        <v>18</v>
      </c>
      <c r="E9" s="31">
        <f>Ratings!AI102</f>
        <v>22</v>
      </c>
      <c r="F9" s="31">
        <f>Ratings!AI103</f>
        <v>20</v>
      </c>
      <c r="G9" s="31">
        <f>Ratings!AI104</f>
        <v>18</v>
      </c>
      <c r="H9" s="31">
        <f>Ratings!AI105</f>
        <v>12</v>
      </c>
      <c r="I9" s="61">
        <f t="shared" si="0"/>
        <v>116</v>
      </c>
    </row>
    <row r="10" spans="1:9" x14ac:dyDescent="0.25">
      <c r="A10" s="60" t="s">
        <v>274</v>
      </c>
      <c r="B10" s="31">
        <f>Ratings!AK99</f>
        <v>6</v>
      </c>
      <c r="C10" s="31">
        <f>Ratings!AK100</f>
        <v>11</v>
      </c>
      <c r="D10" s="31">
        <f>Ratings!AK101</f>
        <v>0</v>
      </c>
      <c r="E10" s="31">
        <f>Ratings!AK102</f>
        <v>11</v>
      </c>
      <c r="F10" s="31">
        <f>Ratings!AK103</f>
        <v>4</v>
      </c>
      <c r="G10" s="31">
        <f>Ratings!AK104</f>
        <v>4</v>
      </c>
      <c r="H10" s="31">
        <f>Ratings!AK105</f>
        <v>7</v>
      </c>
      <c r="I10" s="61">
        <f t="shared" si="0"/>
        <v>43</v>
      </c>
    </row>
    <row r="11" spans="1:9" x14ac:dyDescent="0.25">
      <c r="A11" s="60" t="s">
        <v>275</v>
      </c>
      <c r="B11" s="31">
        <f>Ratings!AM99</f>
        <v>9</v>
      </c>
      <c r="C11" s="31">
        <f>Ratings!AM100</f>
        <v>9</v>
      </c>
      <c r="D11" s="31">
        <f>Ratings!AM101</f>
        <v>8</v>
      </c>
      <c r="E11" s="31">
        <f>Ratings!AM102</f>
        <v>10</v>
      </c>
      <c r="F11" s="31">
        <f>Ratings!AM103</f>
        <v>10</v>
      </c>
      <c r="G11" s="31">
        <f>Ratings!AM104</f>
        <v>8</v>
      </c>
      <c r="H11" s="31">
        <f>Ratings!AM105</f>
        <v>9</v>
      </c>
      <c r="I11" s="61">
        <f t="shared" si="0"/>
        <v>63</v>
      </c>
    </row>
    <row r="12" spans="1:9" x14ac:dyDescent="0.25">
      <c r="A12" s="60" t="s">
        <v>139</v>
      </c>
      <c r="B12" s="31">
        <f>Ratings!AO99</f>
        <v>0</v>
      </c>
      <c r="C12" s="31">
        <f>Ratings!AO100</f>
        <v>8</v>
      </c>
      <c r="D12" s="31">
        <f>Ratings!AO101</f>
        <v>8</v>
      </c>
      <c r="E12" s="31">
        <f>Ratings!AO102</f>
        <v>8</v>
      </c>
      <c r="F12" s="31">
        <f>Ratings!AO103</f>
        <v>8</v>
      </c>
      <c r="G12" s="31">
        <f>Ratings!AO104</f>
        <v>8</v>
      </c>
      <c r="H12" s="31">
        <f>Ratings!AO105</f>
        <v>11</v>
      </c>
      <c r="I12" s="61">
        <f t="shared" si="0"/>
        <v>51</v>
      </c>
    </row>
    <row r="13" spans="1:9" x14ac:dyDescent="0.25">
      <c r="A13" s="60" t="s">
        <v>276</v>
      </c>
      <c r="B13" s="31">
        <f>Ratings!AQ99</f>
        <v>0</v>
      </c>
      <c r="C13" s="31">
        <f>Ratings!AQ100</f>
        <v>5</v>
      </c>
      <c r="D13" s="31">
        <f>Ratings!AQ101</f>
        <v>4</v>
      </c>
      <c r="E13" s="31">
        <f>Ratings!AQ102</f>
        <v>6</v>
      </c>
      <c r="F13" s="31">
        <f>Ratings!AQ103</f>
        <v>0</v>
      </c>
      <c r="G13" s="31">
        <f>Ratings!AQ104</f>
        <v>1</v>
      </c>
      <c r="H13" s="31">
        <f>Ratings!AQ105</f>
        <v>0</v>
      </c>
      <c r="I13" s="61">
        <f t="shared" si="0"/>
        <v>16</v>
      </c>
    </row>
    <row r="14" spans="1:9" x14ac:dyDescent="0.25">
      <c r="A14" s="60" t="s">
        <v>277</v>
      </c>
      <c r="B14" s="167">
        <f>Ratings!$AU$99</f>
        <v>6</v>
      </c>
      <c r="C14" s="167">
        <f>Ratings!$AU$99</f>
        <v>6</v>
      </c>
      <c r="D14" s="167">
        <f>Ratings!$AU$99</f>
        <v>6</v>
      </c>
      <c r="E14" s="167">
        <f>Ratings!$AU$99</f>
        <v>6</v>
      </c>
      <c r="F14" s="167">
        <f>Ratings!$AU$99</f>
        <v>6</v>
      </c>
      <c r="G14" s="167">
        <f>Ratings!$AU$99</f>
        <v>6</v>
      </c>
      <c r="H14" s="167">
        <f>Ratings!$AU$99</f>
        <v>6</v>
      </c>
      <c r="I14" s="61">
        <f>SUM(B14:H14)/8</f>
        <v>5.25</v>
      </c>
    </row>
    <row r="15" spans="1:9" x14ac:dyDescent="0.25">
      <c r="A15" s="60" t="s">
        <v>278</v>
      </c>
      <c r="B15" s="31">
        <f>Ratings!AY99</f>
        <v>3</v>
      </c>
      <c r="C15" s="31">
        <f>Ratings!AY100</f>
        <v>7</v>
      </c>
      <c r="D15" s="31">
        <f>Ratings!AY101</f>
        <v>8</v>
      </c>
      <c r="E15" s="31">
        <f>Ratings!AY102</f>
        <v>4</v>
      </c>
      <c r="F15" s="31">
        <f>Ratings!AY103</f>
        <v>4</v>
      </c>
      <c r="G15" s="31">
        <f>Ratings!AY104</f>
        <v>6</v>
      </c>
      <c r="H15" s="31">
        <f>Ratings!AY105</f>
        <v>9</v>
      </c>
      <c r="I15" s="61">
        <f>SUM(B15:H15)</f>
        <v>41</v>
      </c>
    </row>
    <row r="16" spans="1:9" x14ac:dyDescent="0.25">
      <c r="A16" s="60" t="s">
        <v>249</v>
      </c>
      <c r="B16" s="31">
        <f>Ratings!BA99</f>
        <v>0</v>
      </c>
      <c r="C16" s="31">
        <f>Ratings!BA100</f>
        <v>0</v>
      </c>
      <c r="D16" s="31">
        <f>Ratings!BA101</f>
        <v>0</v>
      </c>
      <c r="E16" s="31">
        <f>Ratings!BA102</f>
        <v>0</v>
      </c>
      <c r="F16" s="31">
        <f>Ratings!BA103</f>
        <v>0</v>
      </c>
      <c r="G16" s="31">
        <f>Ratings!BA104</f>
        <v>0</v>
      </c>
      <c r="H16" s="31">
        <f>Ratings!BA105</f>
        <v>0</v>
      </c>
      <c r="I16" s="61">
        <f>SUM(B16:H16)</f>
        <v>0</v>
      </c>
    </row>
    <row r="17" spans="1:9" x14ac:dyDescent="0.25">
      <c r="A17" s="60" t="s">
        <v>136</v>
      </c>
      <c r="B17" s="31">
        <f>Ratings!BC99</f>
        <v>11</v>
      </c>
      <c r="C17" s="31">
        <f>Ratings!BC100</f>
        <v>11</v>
      </c>
      <c r="D17" s="31">
        <f>Ratings!BC101</f>
        <v>11</v>
      </c>
      <c r="E17" s="31">
        <f>Ratings!BC102</f>
        <v>11</v>
      </c>
      <c r="F17" s="31">
        <f>Ratings!BC103</f>
        <v>11</v>
      </c>
      <c r="G17" s="31">
        <f>Ratings!BC104</f>
        <v>11</v>
      </c>
      <c r="H17" s="31">
        <f>Ratings!BC105</f>
        <v>11</v>
      </c>
      <c r="I17" s="61">
        <f>SUM(B17:H17)</f>
        <v>77</v>
      </c>
    </row>
    <row r="18" spans="1:9" x14ac:dyDescent="0.25">
      <c r="A18" s="60" t="s">
        <v>279</v>
      </c>
      <c r="B18" s="31">
        <f>Ratings!BG99</f>
        <v>1</v>
      </c>
      <c r="C18" s="31">
        <f>Ratings!BG100</f>
        <v>5</v>
      </c>
      <c r="D18" s="31">
        <f>Ratings!BG101</f>
        <v>8</v>
      </c>
      <c r="E18" s="31">
        <f>Ratings!BG102</f>
        <v>6</v>
      </c>
      <c r="F18" s="31">
        <f>Ratings!BG103</f>
        <v>12</v>
      </c>
      <c r="G18" s="31">
        <f>Ratings!BG104</f>
        <v>5</v>
      </c>
      <c r="H18" s="31">
        <f>Ratings!BG105</f>
        <v>9</v>
      </c>
      <c r="I18" s="61">
        <f>SUM(B18:H18)</f>
        <v>46</v>
      </c>
    </row>
    <row r="19" spans="1:9" x14ac:dyDescent="0.25">
      <c r="A19" s="60" t="s">
        <v>280</v>
      </c>
      <c r="B19" s="31">
        <f>Ratings!BK99</f>
        <v>2</v>
      </c>
      <c r="C19" s="31">
        <f>Ratings!BK102</f>
        <v>3</v>
      </c>
      <c r="D19" s="31">
        <f>Ratings!BK101</f>
        <v>5</v>
      </c>
      <c r="E19" s="31">
        <f>Ratings!BK102</f>
        <v>3</v>
      </c>
      <c r="F19" s="31">
        <f>Ratings!BK103</f>
        <v>3</v>
      </c>
      <c r="G19" s="31">
        <f>Ratings!BK104</f>
        <v>2</v>
      </c>
      <c r="H19" s="31">
        <f>Ratings!BK105</f>
        <v>5</v>
      </c>
      <c r="I19" s="61">
        <f>SUM(B19:H19)</f>
        <v>23</v>
      </c>
    </row>
    <row r="20" spans="1:9" x14ac:dyDescent="0.25">
      <c r="A20" s="30"/>
      <c r="B20" s="31"/>
      <c r="C20" s="31"/>
      <c r="D20" s="31"/>
      <c r="E20" s="31"/>
      <c r="F20" s="31"/>
      <c r="G20" s="31"/>
      <c r="H20" s="31"/>
      <c r="I20" s="31"/>
    </row>
    <row r="21" spans="1:9" ht="18.75" x14ac:dyDescent="0.25">
      <c r="A21" s="32" t="s">
        <v>281</v>
      </c>
      <c r="B21" s="6">
        <f t="shared" ref="B21:H21" si="1">SUM(B3:B19)-B14</f>
        <v>65</v>
      </c>
      <c r="C21" s="6">
        <f t="shared" si="1"/>
        <v>126</v>
      </c>
      <c r="D21" s="6">
        <f t="shared" si="1"/>
        <v>108</v>
      </c>
      <c r="E21" s="6">
        <f t="shared" si="1"/>
        <v>132</v>
      </c>
      <c r="F21" s="6">
        <f t="shared" si="1"/>
        <v>118</v>
      </c>
      <c r="G21" s="6">
        <f t="shared" si="1"/>
        <v>119</v>
      </c>
      <c r="H21" s="6">
        <f t="shared" si="1"/>
        <v>121</v>
      </c>
      <c r="I21" s="64">
        <f>SUM(I3:I19)/7</f>
        <v>113.46428571428571</v>
      </c>
    </row>
    <row r="22" spans="1:9" ht="18.75" x14ac:dyDescent="0.25">
      <c r="A22" s="32" t="s">
        <v>282</v>
      </c>
      <c r="B22" s="6">
        <f>Ratings!D99</f>
        <v>102</v>
      </c>
      <c r="C22" s="6">
        <f>Ratings!D100</f>
        <v>51</v>
      </c>
      <c r="D22" s="6">
        <f>Ratings!D101</f>
        <v>76</v>
      </c>
      <c r="E22" s="6">
        <f>Ratings!D102</f>
        <v>45</v>
      </c>
      <c r="F22" s="6">
        <f>Ratings!D103</f>
        <v>65</v>
      </c>
      <c r="G22" s="6">
        <f>Ratings!D104</f>
        <v>62</v>
      </c>
      <c r="H22" s="6">
        <f>Ratings!D105</f>
        <v>59</v>
      </c>
      <c r="I22" s="6"/>
    </row>
  </sheetData>
  <pageMargins left="0.45" right="0.2" top="0.25" bottom="0.25" header="0.3" footer="0.3"/>
  <pageSetup orientation="landscape" r:id="rId1"/>
  <ignoredErrors>
    <ignoredError sqref="C9:D9 B11:C11 G11:H11 D16:H16 B19:C19 B9 E9:H9 D11:F11 B16:C16" emptyCellReference="1"/>
    <ignoredError sqref="D19:H19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C0F7B-B14E-4A77-933C-069F67908113}">
  <sheetPr>
    <tabColor rgb="FFFF0000"/>
  </sheetPr>
  <dimension ref="A1:I22"/>
  <sheetViews>
    <sheetView workbookViewId="0">
      <selection activeCell="I15" sqref="I15"/>
    </sheetView>
  </sheetViews>
  <sheetFormatPr defaultRowHeight="15" x14ac:dyDescent="0.25"/>
  <cols>
    <col min="1" max="1" width="24" customWidth="1"/>
    <col min="2" max="8" width="8.7109375" customWidth="1"/>
    <col min="9" max="9" width="15.28515625" customWidth="1"/>
  </cols>
  <sheetData>
    <row r="1" spans="1:9" ht="18.75" x14ac:dyDescent="0.4">
      <c r="A1" s="58" t="s">
        <v>267</v>
      </c>
      <c r="B1" s="59">
        <v>37</v>
      </c>
      <c r="C1" s="59">
        <v>53</v>
      </c>
      <c r="D1" s="59">
        <v>102</v>
      </c>
      <c r="E1" s="59">
        <v>174</v>
      </c>
      <c r="F1" s="59">
        <v>207</v>
      </c>
      <c r="G1" s="59">
        <v>833</v>
      </c>
      <c r="H1" s="59">
        <v>954</v>
      </c>
      <c r="I1" s="58" t="s">
        <v>30</v>
      </c>
    </row>
    <row r="2" spans="1:9" ht="18.75" x14ac:dyDescent="0.25">
      <c r="A2" s="32" t="s">
        <v>268</v>
      </c>
      <c r="B2" s="9"/>
      <c r="C2" s="9"/>
      <c r="D2" s="9"/>
      <c r="E2" s="9"/>
      <c r="F2" s="9"/>
      <c r="G2" s="9"/>
      <c r="H2" s="9"/>
      <c r="I2" s="9"/>
    </row>
    <row r="3" spans="1:9" x14ac:dyDescent="0.25">
      <c r="A3" s="60" t="s">
        <v>269</v>
      </c>
      <c r="B3" s="31">
        <f xml:space="preserve"> Ratings!H109</f>
        <v>10</v>
      </c>
      <c r="C3" s="31">
        <f xml:space="preserve">  Ratings!H110</f>
        <v>11</v>
      </c>
      <c r="D3" s="31">
        <f xml:space="preserve"> Ratings!H111</f>
        <v>8</v>
      </c>
      <c r="E3" s="31">
        <f xml:space="preserve"> Ratings!H112</f>
        <v>9</v>
      </c>
      <c r="F3" s="31">
        <f xml:space="preserve"> Ratings!H113</f>
        <v>11</v>
      </c>
      <c r="G3" s="31">
        <f xml:space="preserve"> Ratings!H114</f>
        <v>0</v>
      </c>
      <c r="H3" s="31">
        <f xml:space="preserve"> Ratings!H115</f>
        <v>11</v>
      </c>
      <c r="I3" s="61">
        <f>SUM(B3:H3)</f>
        <v>60</v>
      </c>
    </row>
    <row r="4" spans="1:9" x14ac:dyDescent="0.25">
      <c r="A4" s="60" t="s">
        <v>133</v>
      </c>
      <c r="B4" s="31">
        <f xml:space="preserve"> Ratings!J109</f>
        <v>10</v>
      </c>
      <c r="C4" s="31">
        <f xml:space="preserve"> Ratings!J110</f>
        <v>10</v>
      </c>
      <c r="D4" s="31">
        <f xml:space="preserve"> Ratings!J111</f>
        <v>8</v>
      </c>
      <c r="E4" s="31">
        <f xml:space="preserve"> Ratings!J112</f>
        <v>10</v>
      </c>
      <c r="F4" s="31">
        <f xml:space="preserve"> Ratings!J113</f>
        <v>10</v>
      </c>
      <c r="G4" s="31">
        <f xml:space="preserve"> Ratings!J114</f>
        <v>9</v>
      </c>
      <c r="H4" s="31">
        <f xml:space="preserve"> Ratings!J115</f>
        <v>9</v>
      </c>
      <c r="I4" s="61">
        <f t="shared" ref="I4:I19" si="0">SUM(B4:H4)</f>
        <v>66</v>
      </c>
    </row>
    <row r="5" spans="1:9" x14ac:dyDescent="0.25">
      <c r="A5" s="60" t="s">
        <v>270</v>
      </c>
      <c r="B5" s="31">
        <f xml:space="preserve"> Ratings!O109</f>
        <v>5</v>
      </c>
      <c r="C5" s="31">
        <f xml:space="preserve"> Ratings!O110</f>
        <v>11</v>
      </c>
      <c r="D5" s="31">
        <f xml:space="preserve"> Ratings!O111</f>
        <v>7</v>
      </c>
      <c r="E5" s="31">
        <f xml:space="preserve"> Ratings!O112</f>
        <v>7</v>
      </c>
      <c r="F5" s="31">
        <f xml:space="preserve"> Ratings!O113</f>
        <v>11</v>
      </c>
      <c r="G5" s="31">
        <f xml:space="preserve"> Ratings!O114</f>
        <v>3</v>
      </c>
      <c r="H5" s="31">
        <f xml:space="preserve"> Ratings!O115</f>
        <v>6</v>
      </c>
      <c r="I5" s="61">
        <f t="shared" si="0"/>
        <v>50</v>
      </c>
    </row>
    <row r="6" spans="1:9" x14ac:dyDescent="0.25">
      <c r="A6" s="62" t="s">
        <v>271</v>
      </c>
      <c r="B6" s="31">
        <f xml:space="preserve"> Ratings!Q109</f>
        <v>5</v>
      </c>
      <c r="C6" s="31">
        <f xml:space="preserve"> Ratings!Q110</f>
        <v>6</v>
      </c>
      <c r="D6" s="31">
        <f xml:space="preserve"> Ratings!Q111</f>
        <v>8</v>
      </c>
      <c r="E6" s="31">
        <f xml:space="preserve"> Ratings!Q112</f>
        <v>8</v>
      </c>
      <c r="F6" s="31">
        <f xml:space="preserve"> Ratings!Q113</f>
        <v>5</v>
      </c>
      <c r="G6" s="31">
        <f xml:space="preserve"> Ratings!Q114</f>
        <v>3</v>
      </c>
      <c r="H6" s="31">
        <f xml:space="preserve"> Ratings!Q115</f>
        <v>2</v>
      </c>
      <c r="I6" s="61">
        <f t="shared" si="0"/>
        <v>37</v>
      </c>
    </row>
    <row r="7" spans="1:9" x14ac:dyDescent="0.25">
      <c r="A7" s="60" t="s">
        <v>272</v>
      </c>
      <c r="B7" s="31">
        <f xml:space="preserve"> Ratings!V109</f>
        <v>3</v>
      </c>
      <c r="C7" s="31">
        <f xml:space="preserve"> Ratings!V110</f>
        <v>8</v>
      </c>
      <c r="D7" s="31">
        <f xml:space="preserve"> Ratings!V111</f>
        <v>11</v>
      </c>
      <c r="E7" s="31">
        <f xml:space="preserve"> Ratings!V112</f>
        <v>11</v>
      </c>
      <c r="F7" s="31">
        <f xml:space="preserve"> Ratings!V113</f>
        <v>11</v>
      </c>
      <c r="G7" s="31">
        <f xml:space="preserve"> Ratings!V114</f>
        <v>8</v>
      </c>
      <c r="H7" s="31">
        <f xml:space="preserve"> Ratings!V115</f>
        <v>11</v>
      </c>
      <c r="I7" s="61">
        <f t="shared" si="0"/>
        <v>63</v>
      </c>
    </row>
    <row r="8" spans="1:9" x14ac:dyDescent="0.25">
      <c r="A8" s="60" t="s">
        <v>203</v>
      </c>
      <c r="B8" s="31">
        <f xml:space="preserve"> Ratings!Z109</f>
        <v>11</v>
      </c>
      <c r="C8" s="31">
        <f xml:space="preserve"> Ratings!Z110</f>
        <v>8</v>
      </c>
      <c r="D8" s="31">
        <f xml:space="preserve"> Ratings!Z111</f>
        <v>11</v>
      </c>
      <c r="E8" s="31">
        <f xml:space="preserve"> Ratings!Z112</f>
        <v>11</v>
      </c>
      <c r="F8" s="31">
        <f xml:space="preserve"> Ratings!Z113</f>
        <v>11</v>
      </c>
      <c r="G8" s="31">
        <f xml:space="preserve"> Ratings!Z114</f>
        <v>11</v>
      </c>
      <c r="H8" s="31">
        <f xml:space="preserve"> Ratings!Z115</f>
        <v>0</v>
      </c>
      <c r="I8" s="61">
        <f t="shared" si="0"/>
        <v>63</v>
      </c>
    </row>
    <row r="9" spans="1:9" x14ac:dyDescent="0.25">
      <c r="A9" s="60" t="s">
        <v>273</v>
      </c>
      <c r="B9" s="31">
        <f>Ratings!AI109</f>
        <v>18</v>
      </c>
      <c r="C9" s="31">
        <f>Ratings!AI110</f>
        <v>22</v>
      </c>
      <c r="D9" s="31">
        <f>Ratings!AI111</f>
        <v>20</v>
      </c>
      <c r="E9" s="31">
        <f>Ratings!AI112</f>
        <v>22</v>
      </c>
      <c r="F9" s="31">
        <f>Ratings!AI113</f>
        <v>20</v>
      </c>
      <c r="G9" s="31">
        <f>Ratings!AI114</f>
        <v>22</v>
      </c>
      <c r="H9" s="31">
        <f>Ratings!AI115</f>
        <v>20</v>
      </c>
      <c r="I9" s="61">
        <f t="shared" si="0"/>
        <v>144</v>
      </c>
    </row>
    <row r="10" spans="1:9" x14ac:dyDescent="0.25">
      <c r="A10" s="60" t="s">
        <v>274</v>
      </c>
      <c r="B10" s="31">
        <f>Ratings!AK109</f>
        <v>7</v>
      </c>
      <c r="C10" s="31">
        <f>Ratings!AK110</f>
        <v>11</v>
      </c>
      <c r="D10" s="31">
        <f>Ratings!AK111</f>
        <v>7</v>
      </c>
      <c r="E10" s="31">
        <f>Ratings!AK112</f>
        <v>6</v>
      </c>
      <c r="F10" s="31">
        <f>Ratings!AK113</f>
        <v>11</v>
      </c>
      <c r="G10" s="31">
        <f>Ratings!AK114</f>
        <v>5</v>
      </c>
      <c r="H10" s="31">
        <f>Ratings!AK115</f>
        <v>7</v>
      </c>
      <c r="I10" s="61">
        <f t="shared" si="0"/>
        <v>54</v>
      </c>
    </row>
    <row r="11" spans="1:9" x14ac:dyDescent="0.25">
      <c r="A11" s="60" t="s">
        <v>275</v>
      </c>
      <c r="B11" s="31">
        <f>Ratings!AM109</f>
        <v>8</v>
      </c>
      <c r="C11" s="31">
        <f>Ratings!AM110</f>
        <v>9</v>
      </c>
      <c r="D11" s="31">
        <f>Ratings!AM111</f>
        <v>9</v>
      </c>
      <c r="E11" s="31">
        <f>Ratings!AM112</f>
        <v>9</v>
      </c>
      <c r="F11" s="31">
        <f>Ratings!AM113</f>
        <v>0</v>
      </c>
      <c r="G11" s="31">
        <f>Ratings!AM114</f>
        <v>9</v>
      </c>
      <c r="H11" s="31">
        <f>Ratings!AM115</f>
        <v>0</v>
      </c>
      <c r="I11" s="61">
        <f t="shared" si="0"/>
        <v>44</v>
      </c>
    </row>
    <row r="12" spans="1:9" x14ac:dyDescent="0.25">
      <c r="A12" s="60" t="s">
        <v>139</v>
      </c>
      <c r="B12" s="31">
        <f>Ratings!AO109</f>
        <v>8</v>
      </c>
      <c r="C12" s="31">
        <f>Ratings!AO110</f>
        <v>8</v>
      </c>
      <c r="D12" s="31">
        <f>Ratings!AO111</f>
        <v>11</v>
      </c>
      <c r="E12" s="31">
        <f>Ratings!AO112</f>
        <v>10</v>
      </c>
      <c r="F12" s="31">
        <f>Ratings!AO113</f>
        <v>8</v>
      </c>
      <c r="G12" s="31">
        <f>Ratings!AO114</f>
        <v>10</v>
      </c>
      <c r="H12" s="31">
        <f>Ratings!AO115</f>
        <v>8</v>
      </c>
      <c r="I12" s="61">
        <f t="shared" si="0"/>
        <v>63</v>
      </c>
    </row>
    <row r="13" spans="1:9" x14ac:dyDescent="0.25">
      <c r="A13" s="60" t="s">
        <v>276</v>
      </c>
      <c r="B13" s="31">
        <f>Ratings!AQ109</f>
        <v>3</v>
      </c>
      <c r="C13" s="31">
        <f>Ratings!AQ110</f>
        <v>1</v>
      </c>
      <c r="D13" s="31">
        <f>Ratings!AQ111</f>
        <v>1</v>
      </c>
      <c r="E13" s="31">
        <f>Ratings!AQ112</f>
        <v>11</v>
      </c>
      <c r="F13" s="31">
        <f>Ratings!AQ113</f>
        <v>0</v>
      </c>
      <c r="G13" s="31">
        <f>Ratings!AQ114</f>
        <v>8</v>
      </c>
      <c r="H13" s="31">
        <f>Ratings!AQ115</f>
        <v>2</v>
      </c>
      <c r="I13" s="61">
        <f>SUM(B13:H13)</f>
        <v>26</v>
      </c>
    </row>
    <row r="14" spans="1:9" x14ac:dyDescent="0.25">
      <c r="A14" s="60" t="s">
        <v>277</v>
      </c>
      <c r="B14" s="167">
        <f>Ratings!$AU$109</f>
        <v>4</v>
      </c>
      <c r="C14" s="167">
        <f>Ratings!$AU$109</f>
        <v>4</v>
      </c>
      <c r="D14" s="167">
        <f>Ratings!$AU$109</f>
        <v>4</v>
      </c>
      <c r="E14" s="167">
        <f>Ratings!$AU$109</f>
        <v>4</v>
      </c>
      <c r="F14" s="167">
        <f>Ratings!$AU$109</f>
        <v>4</v>
      </c>
      <c r="G14" s="167">
        <f>Ratings!$AU$109</f>
        <v>4</v>
      </c>
      <c r="H14" s="167">
        <f>Ratings!$AU$109</f>
        <v>4</v>
      </c>
      <c r="I14" s="61">
        <f>SUM(B14:H14)/7</f>
        <v>4</v>
      </c>
    </row>
    <row r="15" spans="1:9" x14ac:dyDescent="0.25">
      <c r="A15" s="60" t="s">
        <v>278</v>
      </c>
      <c r="B15" s="31">
        <f>Ratings!AY109</f>
        <v>4</v>
      </c>
      <c r="C15" s="31">
        <f>Ratings!AY110</f>
        <v>6</v>
      </c>
      <c r="D15" s="31">
        <f>Ratings!AY111</f>
        <v>5</v>
      </c>
      <c r="E15" s="31">
        <f>Ratings!AY112</f>
        <v>9</v>
      </c>
      <c r="F15" s="31">
        <f>Ratings!AY113</f>
        <v>5</v>
      </c>
      <c r="G15" s="31">
        <f>Ratings!AY114</f>
        <v>4</v>
      </c>
      <c r="H15" s="31">
        <f>Ratings!AY115</f>
        <v>4</v>
      </c>
      <c r="I15" s="61">
        <f t="shared" si="0"/>
        <v>37</v>
      </c>
    </row>
    <row r="16" spans="1:9" x14ac:dyDescent="0.25">
      <c r="A16" s="60" t="s">
        <v>249</v>
      </c>
      <c r="B16" s="31">
        <f>Ratings!BA109</f>
        <v>0</v>
      </c>
      <c r="C16" s="31">
        <f>Ratings!BA110</f>
        <v>0</v>
      </c>
      <c r="D16" s="31">
        <f>Ratings!BA111</f>
        <v>0</v>
      </c>
      <c r="E16" s="31">
        <f>Ratings!BA112</f>
        <v>0</v>
      </c>
      <c r="F16" s="31">
        <f>Ratings!BA113</f>
        <v>0</v>
      </c>
      <c r="G16" s="31">
        <f>Ratings!BA114</f>
        <v>11</v>
      </c>
      <c r="H16" s="31">
        <f>Ratings!BA115</f>
        <v>0</v>
      </c>
      <c r="I16" s="61">
        <f t="shared" si="0"/>
        <v>11</v>
      </c>
    </row>
    <row r="17" spans="1:9" x14ac:dyDescent="0.25">
      <c r="A17" s="60" t="s">
        <v>136</v>
      </c>
      <c r="B17" s="31">
        <f>Ratings!BC109</f>
        <v>11</v>
      </c>
      <c r="C17" s="31">
        <f>Ratings!BC110</f>
        <v>11</v>
      </c>
      <c r="D17" s="31">
        <f>Ratings!BC111</f>
        <v>11</v>
      </c>
      <c r="E17" s="31">
        <f>Ratings!BC112</f>
        <v>11</v>
      </c>
      <c r="F17" s="31">
        <f>Ratings!BC113</f>
        <v>11</v>
      </c>
      <c r="G17" s="31">
        <f>Ratings!BC114</f>
        <v>11</v>
      </c>
      <c r="H17" s="31">
        <f>Ratings!BC115</f>
        <v>11</v>
      </c>
      <c r="I17" s="61">
        <f t="shared" si="0"/>
        <v>77</v>
      </c>
    </row>
    <row r="18" spans="1:9" x14ac:dyDescent="0.25">
      <c r="A18" s="60" t="s">
        <v>279</v>
      </c>
      <c r="B18" s="31">
        <f>Ratings!BG109</f>
        <v>4</v>
      </c>
      <c r="C18" s="31">
        <f>Ratings!BG110</f>
        <v>2</v>
      </c>
      <c r="D18" s="31">
        <f>Ratings!BG111</f>
        <v>8</v>
      </c>
      <c r="E18" s="31">
        <f>Ratings!BG112</f>
        <v>8</v>
      </c>
      <c r="F18" s="31">
        <f>Ratings!BG113</f>
        <v>2</v>
      </c>
      <c r="G18" s="31">
        <f>Ratings!BG114</f>
        <v>12</v>
      </c>
      <c r="H18" s="31">
        <f>Ratings!BG115</f>
        <v>2</v>
      </c>
      <c r="I18" s="61">
        <f t="shared" si="0"/>
        <v>38</v>
      </c>
    </row>
    <row r="19" spans="1:9" x14ac:dyDescent="0.25">
      <c r="A19" s="60" t="s">
        <v>280</v>
      </c>
      <c r="B19" s="31">
        <f>Ratings!BK109</f>
        <v>3</v>
      </c>
      <c r="C19" s="31">
        <f>Ratings!BK110</f>
        <v>1</v>
      </c>
      <c r="D19" s="31">
        <f>Ratings!BK111</f>
        <v>6</v>
      </c>
      <c r="E19" s="31">
        <f>Ratings!BK112</f>
        <v>4</v>
      </c>
      <c r="F19" s="31">
        <f>Ratings!BK113</f>
        <v>2</v>
      </c>
      <c r="G19" s="31">
        <f>Ratings!BK114</f>
        <v>9</v>
      </c>
      <c r="H19" s="31">
        <f>Ratings!BK115</f>
        <v>3</v>
      </c>
      <c r="I19" s="61">
        <f t="shared" si="0"/>
        <v>28</v>
      </c>
    </row>
    <row r="20" spans="1:9" x14ac:dyDescent="0.25">
      <c r="A20" s="30"/>
      <c r="B20" s="31"/>
      <c r="C20" s="31"/>
      <c r="D20" s="31"/>
      <c r="E20" s="31"/>
      <c r="F20" s="31"/>
      <c r="G20" s="31"/>
      <c r="H20" s="31"/>
      <c r="I20" s="31"/>
    </row>
    <row r="21" spans="1:9" ht="18.75" x14ac:dyDescent="0.25">
      <c r="A21" s="32" t="s">
        <v>281</v>
      </c>
      <c r="B21" s="6">
        <f t="shared" ref="B21:H21" si="1">SUM(B3:B19)-B14</f>
        <v>110</v>
      </c>
      <c r="C21" s="6">
        <f t="shared" si="1"/>
        <v>125</v>
      </c>
      <c r="D21" s="6">
        <f t="shared" si="1"/>
        <v>131</v>
      </c>
      <c r="E21" s="6">
        <f t="shared" si="1"/>
        <v>146</v>
      </c>
      <c r="F21" s="6">
        <f t="shared" si="1"/>
        <v>118</v>
      </c>
      <c r="G21" s="6">
        <f t="shared" si="1"/>
        <v>135</v>
      </c>
      <c r="H21" s="6">
        <f t="shared" si="1"/>
        <v>96</v>
      </c>
      <c r="I21" s="64">
        <f>SUM(I3:I19)/7</f>
        <v>123.57142857142857</v>
      </c>
    </row>
    <row r="22" spans="1:9" ht="18.75" x14ac:dyDescent="0.25">
      <c r="A22" s="32" t="s">
        <v>282</v>
      </c>
      <c r="B22" s="6">
        <f>Ratings!D109</f>
        <v>74</v>
      </c>
      <c r="C22" s="6">
        <f>Ratings!D110</f>
        <v>54</v>
      </c>
      <c r="D22" s="6">
        <f>Ratings!D111</f>
        <v>46</v>
      </c>
      <c r="E22" s="6">
        <f>Ratings!D112</f>
        <v>24</v>
      </c>
      <c r="F22" s="6">
        <f>Ratings!D113</f>
        <v>65</v>
      </c>
      <c r="G22" s="6">
        <f>Ratings!D114</f>
        <v>37</v>
      </c>
      <c r="H22" s="6">
        <f>Ratings!D115</f>
        <v>89</v>
      </c>
      <c r="I22" s="6"/>
    </row>
  </sheetData>
  <pageMargins left="0.45" right="0.2" top="0.25" bottom="0.25" header="0.3" footer="0.3"/>
  <pageSetup orientation="landscape" r:id="rId1"/>
  <ignoredErrors>
    <ignoredError sqref="G9:H9 B9:C9 B11:F11 B16:C16 G19:H19 D9:F9 G11:H11 D16:H16 B19 D19:F19" emptyCellReferenc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EFF4D-EFAC-4FD7-9143-D5B25827983D}">
  <sheetPr>
    <tabColor rgb="FF92D050"/>
  </sheetPr>
  <dimension ref="A1:M23"/>
  <sheetViews>
    <sheetView workbookViewId="0">
      <selection activeCell="I15" sqref="I15"/>
    </sheetView>
  </sheetViews>
  <sheetFormatPr defaultRowHeight="15" x14ac:dyDescent="0.25"/>
  <cols>
    <col min="1" max="1" width="24" customWidth="1"/>
    <col min="2" max="8" width="8.7109375" customWidth="1"/>
    <col min="9" max="9" width="15.28515625" customWidth="1"/>
  </cols>
  <sheetData>
    <row r="1" spans="1:9" ht="18.75" x14ac:dyDescent="0.4">
      <c r="A1" s="58" t="s">
        <v>267</v>
      </c>
      <c r="B1" s="59">
        <v>51</v>
      </c>
      <c r="C1" s="59">
        <v>64</v>
      </c>
      <c r="D1" s="59">
        <v>93</v>
      </c>
      <c r="E1" s="59">
        <v>101</v>
      </c>
      <c r="F1" s="59">
        <v>137</v>
      </c>
      <c r="G1" s="59">
        <v>366</v>
      </c>
      <c r="H1" s="59">
        <v>962</v>
      </c>
      <c r="I1" s="58" t="s">
        <v>22</v>
      </c>
    </row>
    <row r="2" spans="1:9" ht="18.75" x14ac:dyDescent="0.25">
      <c r="A2" s="32" t="s">
        <v>268</v>
      </c>
      <c r="B2" s="9"/>
      <c r="C2" s="9"/>
      <c r="D2" s="9"/>
      <c r="E2" s="9"/>
      <c r="F2" s="9"/>
      <c r="G2" s="9"/>
      <c r="H2" s="9"/>
      <c r="I2" s="9"/>
    </row>
    <row r="3" spans="1:9" x14ac:dyDescent="0.25">
      <c r="A3" s="60" t="s">
        <v>269</v>
      </c>
      <c r="B3" s="31">
        <f xml:space="preserve"> Ratings!H119</f>
        <v>7</v>
      </c>
      <c r="C3" s="31">
        <f xml:space="preserve"> Ratings!H120</f>
        <v>0</v>
      </c>
      <c r="D3" s="31">
        <f xml:space="preserve"> Ratings!H121</f>
        <v>11</v>
      </c>
      <c r="E3" s="31">
        <f xml:space="preserve"> Ratings!H122</f>
        <v>7</v>
      </c>
      <c r="F3" s="31">
        <f xml:space="preserve"> Ratings!H123</f>
        <v>9</v>
      </c>
      <c r="G3" s="31">
        <f xml:space="preserve"> Ratings!H124</f>
        <v>11</v>
      </c>
      <c r="H3" s="31">
        <f xml:space="preserve"> Ratings!H125</f>
        <v>6</v>
      </c>
      <c r="I3" s="61">
        <f t="shared" ref="I3:I12" si="0">SUM(B3:H3)</f>
        <v>51</v>
      </c>
    </row>
    <row r="4" spans="1:9" x14ac:dyDescent="0.25">
      <c r="A4" s="60" t="s">
        <v>133</v>
      </c>
      <c r="B4" s="31">
        <f xml:space="preserve"> Ratings!J119</f>
        <v>8</v>
      </c>
      <c r="C4" s="31">
        <f xml:space="preserve"> Ratings!J120</f>
        <v>8</v>
      </c>
      <c r="D4" s="31">
        <f xml:space="preserve"> Ratings!J121</f>
        <v>9</v>
      </c>
      <c r="E4" s="31">
        <f xml:space="preserve"> Ratings!J122</f>
        <v>10</v>
      </c>
      <c r="F4" s="31">
        <f xml:space="preserve"> Ratings!J123</f>
        <v>8</v>
      </c>
      <c r="G4" s="31">
        <f xml:space="preserve"> Ratings!J124</f>
        <v>10</v>
      </c>
      <c r="H4" s="31">
        <f xml:space="preserve"> Ratings!J125</f>
        <v>10</v>
      </c>
      <c r="I4" s="61">
        <f t="shared" si="0"/>
        <v>63</v>
      </c>
    </row>
    <row r="5" spans="1:9" x14ac:dyDescent="0.25">
      <c r="A5" s="60" t="s">
        <v>270</v>
      </c>
      <c r="B5" s="31">
        <f xml:space="preserve"> Ratings!O119</f>
        <v>1</v>
      </c>
      <c r="C5" s="31">
        <f xml:space="preserve"> Ratings!O120</f>
        <v>5</v>
      </c>
      <c r="D5" s="31">
        <f xml:space="preserve"> Ratings!O121</f>
        <v>4</v>
      </c>
      <c r="E5" s="31">
        <f xml:space="preserve"> Ratings!O122</f>
        <v>11</v>
      </c>
      <c r="F5" s="31">
        <f xml:space="preserve"> Ratings!O123</f>
        <v>3</v>
      </c>
      <c r="G5" s="31">
        <f xml:space="preserve"> Ratings!O124</f>
        <v>9</v>
      </c>
      <c r="H5" s="31">
        <f xml:space="preserve"> Ratings!O125</f>
        <v>9</v>
      </c>
      <c r="I5" s="61">
        <f t="shared" si="0"/>
        <v>42</v>
      </c>
    </row>
    <row r="6" spans="1:9" x14ac:dyDescent="0.25">
      <c r="A6" s="62" t="s">
        <v>271</v>
      </c>
      <c r="B6" s="31">
        <f xml:space="preserve"> Ratings!Q119</f>
        <v>1</v>
      </c>
      <c r="C6" s="31">
        <f xml:space="preserve"> Ratings!Q120</f>
        <v>3</v>
      </c>
      <c r="D6" s="31">
        <f xml:space="preserve"> Ratings!Q121</f>
        <v>4</v>
      </c>
      <c r="E6" s="31">
        <f xml:space="preserve"> Ratings!Q122</f>
        <v>3</v>
      </c>
      <c r="F6" s="31">
        <f xml:space="preserve"> Ratings!Q123</f>
        <v>4</v>
      </c>
      <c r="G6" s="31">
        <f xml:space="preserve"> Ratings!Q124</f>
        <v>2</v>
      </c>
      <c r="H6" s="31">
        <f xml:space="preserve"> Ratings!Q125</f>
        <v>3</v>
      </c>
      <c r="I6" s="61">
        <f t="shared" si="0"/>
        <v>20</v>
      </c>
    </row>
    <row r="7" spans="1:9" x14ac:dyDescent="0.25">
      <c r="A7" s="60" t="s">
        <v>272</v>
      </c>
      <c r="B7" s="31">
        <f xml:space="preserve"> Ratings!V119</f>
        <v>7</v>
      </c>
      <c r="C7" s="31">
        <f xml:space="preserve"> Ratings!V120</f>
        <v>0</v>
      </c>
      <c r="D7" s="31">
        <f xml:space="preserve"> Ratings!V121</f>
        <v>8</v>
      </c>
      <c r="E7" s="31">
        <f xml:space="preserve"> Ratings!V122</f>
        <v>11</v>
      </c>
      <c r="F7" s="31">
        <f xml:space="preserve"> Ratings!V123</f>
        <v>11</v>
      </c>
      <c r="G7" s="31">
        <f xml:space="preserve">  Ratings!V124</f>
        <v>8</v>
      </c>
      <c r="H7" s="31">
        <f xml:space="preserve"> Ratings!V125</f>
        <v>3</v>
      </c>
      <c r="I7" s="61">
        <f t="shared" si="0"/>
        <v>48</v>
      </c>
    </row>
    <row r="8" spans="1:9" x14ac:dyDescent="0.25">
      <c r="A8" s="60" t="s">
        <v>203</v>
      </c>
      <c r="B8" s="31">
        <f xml:space="preserve"> Ratings!Z119</f>
        <v>5</v>
      </c>
      <c r="C8" s="31">
        <f xml:space="preserve"> Ratings!Z120</f>
        <v>10</v>
      </c>
      <c r="D8" s="31">
        <f xml:space="preserve"> Ratings!Z121</f>
        <v>9</v>
      </c>
      <c r="E8" s="31">
        <f xml:space="preserve"> Ratings!Z122</f>
        <v>10</v>
      </c>
      <c r="F8" s="31">
        <f xml:space="preserve"> Ratings!Z123</f>
        <v>10</v>
      </c>
      <c r="G8" s="31">
        <f xml:space="preserve"> Ratings!Z124</f>
        <v>11</v>
      </c>
      <c r="H8" s="31">
        <f xml:space="preserve"> Ratings!Z125</f>
        <v>5</v>
      </c>
      <c r="I8" s="61">
        <f t="shared" si="0"/>
        <v>60</v>
      </c>
    </row>
    <row r="9" spans="1:9" x14ac:dyDescent="0.25">
      <c r="A9" s="60" t="s">
        <v>273</v>
      </c>
      <c r="B9" s="31">
        <f>Ratings!AI119</f>
        <v>18</v>
      </c>
      <c r="C9" s="31">
        <f>Ratings!AI120</f>
        <v>14</v>
      </c>
      <c r="D9" s="31">
        <f>Ratings!AI121</f>
        <v>22</v>
      </c>
      <c r="E9" s="31">
        <f>Ratings!AI122</f>
        <v>22</v>
      </c>
      <c r="F9" s="31">
        <f>Ratings!AI123</f>
        <v>16</v>
      </c>
      <c r="G9" s="31">
        <f>Ratings!AI124</f>
        <v>12</v>
      </c>
      <c r="H9" s="31">
        <f>Ratings!AI125</f>
        <v>20</v>
      </c>
      <c r="I9" s="61">
        <f t="shared" si="0"/>
        <v>124</v>
      </c>
    </row>
    <row r="10" spans="1:9" x14ac:dyDescent="0.25">
      <c r="A10" s="60" t="s">
        <v>274</v>
      </c>
      <c r="B10" s="31">
        <f>Ratings!AK119</f>
        <v>6</v>
      </c>
      <c r="C10" s="31">
        <f>Ratings!AK120</f>
        <v>3</v>
      </c>
      <c r="D10" s="31">
        <f>Ratings!AK121</f>
        <v>1</v>
      </c>
      <c r="E10" s="31">
        <f>Ratings!AK122</f>
        <v>11</v>
      </c>
      <c r="F10" s="31">
        <f>Ratings!AK123</f>
        <v>4</v>
      </c>
      <c r="G10" s="31">
        <f>Ratings!AK124</f>
        <v>2</v>
      </c>
      <c r="H10" s="31">
        <f>Ratings!AK125</f>
        <v>11</v>
      </c>
      <c r="I10" s="61">
        <f t="shared" si="0"/>
        <v>38</v>
      </c>
    </row>
    <row r="11" spans="1:9" x14ac:dyDescent="0.25">
      <c r="A11" s="60" t="s">
        <v>275</v>
      </c>
      <c r="B11" s="31">
        <f>Ratings!AM119</f>
        <v>8</v>
      </c>
      <c r="C11" s="31">
        <f>Ratings!AM120</f>
        <v>9</v>
      </c>
      <c r="D11" s="31">
        <f>Ratings!AM121</f>
        <v>0</v>
      </c>
      <c r="E11" s="31">
        <f>Ratings!AM122</f>
        <v>0</v>
      </c>
      <c r="F11" s="31">
        <f>Ratings!AM123</f>
        <v>8</v>
      </c>
      <c r="G11" s="31">
        <f>Ratings!AM124</f>
        <v>8</v>
      </c>
      <c r="H11" s="31">
        <f>Ratings!AM125</f>
        <v>8</v>
      </c>
      <c r="I11" s="61">
        <f t="shared" si="0"/>
        <v>41</v>
      </c>
    </row>
    <row r="12" spans="1:9" x14ac:dyDescent="0.25">
      <c r="A12" s="60" t="s">
        <v>139</v>
      </c>
      <c r="B12" s="31">
        <f>Ratings!AO119</f>
        <v>10</v>
      </c>
      <c r="C12" s="31">
        <f>Ratings!AO120</f>
        <v>8</v>
      </c>
      <c r="D12" s="31">
        <f>Ratings!AO121</f>
        <v>8</v>
      </c>
      <c r="E12" s="31">
        <f>Ratings!AO122</f>
        <v>8</v>
      </c>
      <c r="F12" s="31">
        <f>Ratings!AO123</f>
        <v>8</v>
      </c>
      <c r="G12" s="31">
        <f>Ratings!AO124</f>
        <v>8</v>
      </c>
      <c r="H12" s="31">
        <f>Ratings!AO125</f>
        <v>8</v>
      </c>
      <c r="I12" s="61">
        <f t="shared" si="0"/>
        <v>58</v>
      </c>
    </row>
    <row r="13" spans="1:9" x14ac:dyDescent="0.25">
      <c r="A13" s="60" t="s">
        <v>276</v>
      </c>
      <c r="B13" s="31">
        <f>Ratings!AQ119</f>
        <v>2</v>
      </c>
      <c r="C13" s="31">
        <f>Ratings!AQ120</f>
        <v>2</v>
      </c>
      <c r="D13" s="31">
        <f>Ratings!AQ121</f>
        <v>0</v>
      </c>
      <c r="E13" s="31">
        <f>Ratings!AQ122</f>
        <v>0</v>
      </c>
      <c r="F13" s="31">
        <f>Ratings!AQ123</f>
        <v>2</v>
      </c>
      <c r="G13" s="31">
        <f>Ratings!AQ124</f>
        <v>2</v>
      </c>
      <c r="H13" s="31">
        <f>Ratings!AQ125</f>
        <v>0</v>
      </c>
      <c r="I13" s="61">
        <f>SUM(B13:H13)</f>
        <v>8</v>
      </c>
    </row>
    <row r="14" spans="1:9" x14ac:dyDescent="0.25">
      <c r="A14" s="60" t="s">
        <v>277</v>
      </c>
      <c r="B14" s="167">
        <f>Ratings!$AU$119</f>
        <v>13</v>
      </c>
      <c r="C14" s="167">
        <f>Ratings!$AU$119</f>
        <v>13</v>
      </c>
      <c r="D14" s="167">
        <f>Ratings!$AU$119</f>
        <v>13</v>
      </c>
      <c r="E14" s="167">
        <f>Ratings!$AU$119</f>
        <v>13</v>
      </c>
      <c r="F14" s="167">
        <f>Ratings!$AU$119</f>
        <v>13</v>
      </c>
      <c r="G14" s="167">
        <f>Ratings!$AU$119</f>
        <v>13</v>
      </c>
      <c r="H14" s="167">
        <f>Ratings!$AU$119</f>
        <v>13</v>
      </c>
      <c r="I14" s="61">
        <f>SUM(B14:H14)/7</f>
        <v>13</v>
      </c>
    </row>
    <row r="15" spans="1:9" x14ac:dyDescent="0.25">
      <c r="A15" s="60" t="s">
        <v>278</v>
      </c>
      <c r="B15" s="31">
        <f>Ratings!AY119</f>
        <v>3</v>
      </c>
      <c r="C15" s="31">
        <f>Ratings!AY120</f>
        <v>5</v>
      </c>
      <c r="D15" s="31">
        <f>Ratings!AY121</f>
        <v>4</v>
      </c>
      <c r="E15" s="31">
        <f>Ratings!AY122</f>
        <v>6</v>
      </c>
      <c r="F15" s="31">
        <f>Ratings!AY123</f>
        <v>7</v>
      </c>
      <c r="G15" s="31">
        <f>Ratings!AY124</f>
        <v>4</v>
      </c>
      <c r="H15" s="31">
        <f>Ratings!AY125</f>
        <v>4</v>
      </c>
      <c r="I15" s="61">
        <f t="shared" ref="I15:I19" si="1">SUM(B15:H15)</f>
        <v>33</v>
      </c>
    </row>
    <row r="16" spans="1:9" x14ac:dyDescent="0.25">
      <c r="A16" s="60" t="s">
        <v>249</v>
      </c>
      <c r="B16" s="31">
        <f>Ratings!BA23</f>
        <v>0</v>
      </c>
      <c r="C16" s="31">
        <f>Ratings!BA120</f>
        <v>0</v>
      </c>
      <c r="D16" s="31">
        <f>Ratings!BA121</f>
        <v>0</v>
      </c>
      <c r="E16" s="31">
        <f>Ratings!BA122</f>
        <v>0</v>
      </c>
      <c r="F16" s="31">
        <f>Ratings!BA123</f>
        <v>0</v>
      </c>
      <c r="G16" s="31">
        <f>Ratings!BA124</f>
        <v>0</v>
      </c>
      <c r="H16" s="31">
        <f>Ratings!BA125</f>
        <v>0</v>
      </c>
      <c r="I16" s="61">
        <f t="shared" si="1"/>
        <v>0</v>
      </c>
    </row>
    <row r="17" spans="1:13" x14ac:dyDescent="0.25">
      <c r="A17" s="60" t="s">
        <v>136</v>
      </c>
      <c r="B17" s="31">
        <f>Ratings!BC119</f>
        <v>11</v>
      </c>
      <c r="C17" s="31">
        <f>Ratings!BC120</f>
        <v>11</v>
      </c>
      <c r="D17" s="31">
        <f>Ratings!BC121</f>
        <v>0</v>
      </c>
      <c r="E17" s="31">
        <f>Ratings!BC122</f>
        <v>11</v>
      </c>
      <c r="F17" s="31">
        <f>Ratings!BC123</f>
        <v>11</v>
      </c>
      <c r="G17" s="31">
        <f>Ratings!BC124</f>
        <v>11</v>
      </c>
      <c r="H17" s="31">
        <f>Ratings!BC125</f>
        <v>11</v>
      </c>
      <c r="I17" s="61">
        <f t="shared" si="1"/>
        <v>66</v>
      </c>
    </row>
    <row r="18" spans="1:13" x14ac:dyDescent="0.25">
      <c r="A18" s="60" t="s">
        <v>279</v>
      </c>
      <c r="B18" s="31">
        <f>Ratings!BG119</f>
        <v>3</v>
      </c>
      <c r="C18" s="31">
        <f>Ratings!BG120</f>
        <v>8</v>
      </c>
      <c r="D18" s="31">
        <f>Ratings!BG121</f>
        <v>1</v>
      </c>
      <c r="E18" s="31">
        <f>Ratings!BG122</f>
        <v>8</v>
      </c>
      <c r="F18" s="31">
        <f>Ratings!BG123</f>
        <v>6</v>
      </c>
      <c r="G18" s="31">
        <f>Ratings!BG124</f>
        <v>1</v>
      </c>
      <c r="H18" s="31">
        <f>Ratings!BG125</f>
        <v>8</v>
      </c>
      <c r="I18" s="61">
        <f t="shared" si="1"/>
        <v>35</v>
      </c>
    </row>
    <row r="19" spans="1:13" x14ac:dyDescent="0.25">
      <c r="A19" s="60" t="s">
        <v>280</v>
      </c>
      <c r="B19" s="31">
        <f>Ratings!BK119</f>
        <v>2</v>
      </c>
      <c r="C19" s="31">
        <f>Ratings!BK120</f>
        <v>3</v>
      </c>
      <c r="D19" s="31">
        <f>Ratings!BK121</f>
        <v>2</v>
      </c>
      <c r="E19" s="31">
        <f>Ratings!BK122</f>
        <v>6</v>
      </c>
      <c r="F19" s="31">
        <f>Ratings!BK123</f>
        <v>3</v>
      </c>
      <c r="G19" s="31">
        <f>Ratings!BK124</f>
        <v>2</v>
      </c>
      <c r="H19" s="31">
        <f>Ratings!BK125</f>
        <v>6</v>
      </c>
      <c r="I19" s="61">
        <f t="shared" si="1"/>
        <v>24</v>
      </c>
    </row>
    <row r="20" spans="1:13" x14ac:dyDescent="0.25">
      <c r="A20" s="30"/>
      <c r="B20" s="31"/>
      <c r="C20" s="31"/>
      <c r="D20" s="31"/>
      <c r="E20" s="31"/>
      <c r="F20" s="31"/>
      <c r="G20" s="31"/>
      <c r="H20" s="31"/>
      <c r="I20" s="31"/>
    </row>
    <row r="21" spans="1:13" ht="18.75" x14ac:dyDescent="0.25">
      <c r="A21" s="32" t="s">
        <v>281</v>
      </c>
      <c r="B21" s="6">
        <f t="shared" ref="B21:H21" si="2">SUM(B3:B19)-B14</f>
        <v>92</v>
      </c>
      <c r="C21" s="6">
        <f t="shared" si="2"/>
        <v>89</v>
      </c>
      <c r="D21" s="6">
        <f t="shared" si="2"/>
        <v>83</v>
      </c>
      <c r="E21" s="6">
        <f t="shared" si="2"/>
        <v>124</v>
      </c>
      <c r="F21" s="6">
        <f t="shared" si="2"/>
        <v>110</v>
      </c>
      <c r="G21" s="6">
        <f t="shared" si="2"/>
        <v>101</v>
      </c>
      <c r="H21" s="6">
        <f t="shared" si="2"/>
        <v>112</v>
      </c>
      <c r="I21" s="64">
        <f>SUM(I3:I19)/7</f>
        <v>103.42857142857143</v>
      </c>
    </row>
    <row r="22" spans="1:13" ht="18.75" x14ac:dyDescent="0.25">
      <c r="A22" s="150" t="s">
        <v>282</v>
      </c>
      <c r="B22" s="148">
        <f>Ratings!D119</f>
        <v>90</v>
      </c>
      <c r="C22" s="148">
        <f>Ratings!D120</f>
        <v>91</v>
      </c>
      <c r="D22" s="148">
        <f>Ratings!D121</f>
        <v>93</v>
      </c>
      <c r="E22" s="148">
        <f>Ratings!D122</f>
        <v>56</v>
      </c>
      <c r="F22" s="148">
        <f>Ratings!D123</f>
        <v>74</v>
      </c>
      <c r="G22" s="148">
        <f>Ratings!D124</f>
        <v>83</v>
      </c>
      <c r="H22" s="148">
        <f>Ratings!D125</f>
        <v>73</v>
      </c>
      <c r="I22" s="6"/>
    </row>
    <row r="23" spans="1:13" ht="18.75" x14ac:dyDescent="0.4">
      <c r="A23" s="151"/>
      <c r="B23" s="151"/>
      <c r="C23" s="151"/>
      <c r="D23" s="151"/>
      <c r="E23" s="151"/>
      <c r="F23" s="151"/>
      <c r="G23" s="151"/>
      <c r="H23" s="151"/>
      <c r="I23" s="149"/>
      <c r="J23" s="149"/>
      <c r="K23" s="149"/>
      <c r="L23" s="149"/>
      <c r="M23" s="149"/>
    </row>
  </sheetData>
  <pageMargins left="0.45" right="0.2" top="0.25" bottom="0.25" header="0.3" footer="0.3"/>
  <pageSetup orientation="landscape" r:id="rId1"/>
  <ignoredErrors>
    <ignoredError sqref="G9:H9 G11:H11 C16 E16:F16 B19:F19" emptyCellReferenc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4CE41-C4E0-48D1-8CA4-D1071801AF0A}">
  <sheetPr>
    <tabColor theme="4" tint="-0.249977111117893"/>
  </sheetPr>
  <dimension ref="A1:N23"/>
  <sheetViews>
    <sheetView workbookViewId="0">
      <selection activeCell="N15" sqref="N15"/>
    </sheetView>
  </sheetViews>
  <sheetFormatPr defaultRowHeight="15" x14ac:dyDescent="0.25"/>
  <cols>
    <col min="1" max="1" width="24.28515625" customWidth="1"/>
    <col min="2" max="13" width="6.7109375" customWidth="1"/>
    <col min="14" max="14" width="13.7109375" customWidth="1"/>
  </cols>
  <sheetData>
    <row r="1" spans="1:14" ht="18.75" x14ac:dyDescent="0.4">
      <c r="A1" s="58" t="s">
        <v>267</v>
      </c>
      <c r="B1" s="59">
        <v>66</v>
      </c>
      <c r="C1" s="59">
        <v>78</v>
      </c>
      <c r="D1" s="59">
        <v>83</v>
      </c>
      <c r="E1" s="59">
        <v>84</v>
      </c>
      <c r="F1" s="59">
        <v>98</v>
      </c>
      <c r="G1" s="59">
        <v>109</v>
      </c>
      <c r="H1" s="59">
        <v>276</v>
      </c>
      <c r="I1" s="59">
        <v>381</v>
      </c>
      <c r="J1" s="59">
        <v>593</v>
      </c>
      <c r="K1" s="59">
        <v>882</v>
      </c>
      <c r="L1" s="59">
        <v>2505</v>
      </c>
      <c r="M1" s="59">
        <v>2568</v>
      </c>
      <c r="N1" s="59" t="s">
        <v>14</v>
      </c>
    </row>
    <row r="2" spans="1:14" ht="18.75" x14ac:dyDescent="0.25">
      <c r="A2" s="32" t="s">
        <v>268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pans="1:14" x14ac:dyDescent="0.25">
      <c r="A3" s="60" t="s">
        <v>269</v>
      </c>
      <c r="B3" s="31">
        <f xml:space="preserve"> Ratings!H129</f>
        <v>10</v>
      </c>
      <c r="C3" s="31">
        <f xml:space="preserve"> Ratings!H130</f>
        <v>11</v>
      </c>
      <c r="D3" s="31">
        <f xml:space="preserve"> Ratings!H131</f>
        <v>11</v>
      </c>
      <c r="E3" s="31">
        <f xml:space="preserve"> Ratings!H132</f>
        <v>11</v>
      </c>
      <c r="F3" s="31">
        <f xml:space="preserve"> Ratings!H133</f>
        <v>2</v>
      </c>
      <c r="G3" s="31">
        <f xml:space="preserve"> Ratings!H134</f>
        <v>11</v>
      </c>
      <c r="H3" s="31">
        <f xml:space="preserve"> Ratings!H135</f>
        <v>11</v>
      </c>
      <c r="I3" s="31">
        <f xml:space="preserve"> Ratings!H136</f>
        <v>11</v>
      </c>
      <c r="J3" s="31">
        <f xml:space="preserve"> Ratings!H137</f>
        <v>0</v>
      </c>
      <c r="K3" s="31">
        <f>Ratings!H138</f>
        <v>2</v>
      </c>
      <c r="L3" s="31">
        <f xml:space="preserve"> Ratings!H139</f>
        <v>11</v>
      </c>
      <c r="M3" s="31">
        <f xml:space="preserve"> Ratings!H140</f>
        <v>11</v>
      </c>
      <c r="N3" s="61">
        <f>SUM(B3:M3)</f>
        <v>102</v>
      </c>
    </row>
    <row r="4" spans="1:14" x14ac:dyDescent="0.25">
      <c r="A4" s="60" t="s">
        <v>133</v>
      </c>
      <c r="B4" s="31">
        <f>Ratings!J129</f>
        <v>6</v>
      </c>
      <c r="C4" s="31">
        <f xml:space="preserve"> Ratings!J130</f>
        <v>10</v>
      </c>
      <c r="D4" s="31">
        <f xml:space="preserve"> Ratings!J131</f>
        <v>10</v>
      </c>
      <c r="E4" s="31">
        <f xml:space="preserve"> Ratings!J132</f>
        <v>9</v>
      </c>
      <c r="F4" s="31">
        <f xml:space="preserve"> Ratings!J133</f>
        <v>10</v>
      </c>
      <c r="G4" s="31">
        <f xml:space="preserve"> Ratings!J134</f>
        <v>10</v>
      </c>
      <c r="H4" s="31">
        <f xml:space="preserve"> Ratings!J135</f>
        <v>9</v>
      </c>
      <c r="I4" s="31">
        <f xml:space="preserve"> Ratings!J136</f>
        <v>10</v>
      </c>
      <c r="J4" s="31">
        <f xml:space="preserve"> Ratings!J137</f>
        <v>10</v>
      </c>
      <c r="K4" s="31">
        <f xml:space="preserve"> Ratings!J138</f>
        <v>10</v>
      </c>
      <c r="L4" s="31">
        <f xml:space="preserve"> Ratings!J139</f>
        <v>10</v>
      </c>
      <c r="M4" s="31">
        <f xml:space="preserve"> Ratings!J140</f>
        <v>10</v>
      </c>
      <c r="N4" s="61">
        <f t="shared" ref="N4:N19" si="0">SUM(B4:M4)</f>
        <v>114</v>
      </c>
    </row>
    <row r="5" spans="1:14" x14ac:dyDescent="0.25">
      <c r="A5" s="60" t="s">
        <v>270</v>
      </c>
      <c r="B5" s="31">
        <f>Ratings!O129</f>
        <v>11</v>
      </c>
      <c r="C5" s="31">
        <f xml:space="preserve"> Ratings!O130</f>
        <v>5</v>
      </c>
      <c r="D5" s="31">
        <f xml:space="preserve"> Ratings!O131</f>
        <v>11</v>
      </c>
      <c r="E5" s="31">
        <f xml:space="preserve"> Ratings!O132</f>
        <v>4</v>
      </c>
      <c r="F5" s="31">
        <f xml:space="preserve"> Ratings!O133</f>
        <v>11</v>
      </c>
      <c r="G5" s="31">
        <f xml:space="preserve"> Ratings!O134</f>
        <v>11</v>
      </c>
      <c r="H5" s="31">
        <f xml:space="preserve"> Ratings!O135</f>
        <v>9</v>
      </c>
      <c r="I5" s="31">
        <f xml:space="preserve"> Ratings!O136</f>
        <v>11</v>
      </c>
      <c r="J5" s="31">
        <f xml:space="preserve"> Ratings!O137</f>
        <v>9</v>
      </c>
      <c r="K5" s="31">
        <f xml:space="preserve"> Ratings!O138</f>
        <v>5</v>
      </c>
      <c r="L5" s="31">
        <f xml:space="preserve"> Ratings!O139</f>
        <v>8</v>
      </c>
      <c r="M5" s="31">
        <f xml:space="preserve"> Ratings!O140</f>
        <v>9</v>
      </c>
      <c r="N5" s="61">
        <f t="shared" si="0"/>
        <v>104</v>
      </c>
    </row>
    <row r="6" spans="1:14" x14ac:dyDescent="0.25">
      <c r="A6" s="62" t="s">
        <v>271</v>
      </c>
      <c r="B6" s="31">
        <f xml:space="preserve"> Ratings!Q129</f>
        <v>3</v>
      </c>
      <c r="C6" s="31">
        <f xml:space="preserve"> Ratings!Q130</f>
        <v>8</v>
      </c>
      <c r="D6" s="31">
        <f xml:space="preserve"> Ratings!Q131</f>
        <v>11</v>
      </c>
      <c r="E6" s="31">
        <f xml:space="preserve"> Ratings!Q132</f>
        <v>5</v>
      </c>
      <c r="F6" s="31">
        <f xml:space="preserve"> Ratings!Q133</f>
        <v>4</v>
      </c>
      <c r="G6" s="31">
        <f xml:space="preserve"> Ratings!Q134</f>
        <v>3</v>
      </c>
      <c r="H6" s="31">
        <f xml:space="preserve"> Ratings!Q135</f>
        <v>8</v>
      </c>
      <c r="I6" s="31">
        <f xml:space="preserve"> Ratings!Q136</f>
        <v>9</v>
      </c>
      <c r="J6" s="31">
        <f xml:space="preserve"> Ratings!Q137</f>
        <v>9</v>
      </c>
      <c r="K6" s="31">
        <f xml:space="preserve"> Ratings!Q138</f>
        <v>1</v>
      </c>
      <c r="L6" s="31">
        <f xml:space="preserve"> Ratings!Q139</f>
        <v>5</v>
      </c>
      <c r="M6" s="31">
        <f xml:space="preserve"> Ratings!Q140</f>
        <v>10</v>
      </c>
      <c r="N6" s="61">
        <f t="shared" si="0"/>
        <v>76</v>
      </c>
    </row>
    <row r="7" spans="1:14" x14ac:dyDescent="0.25">
      <c r="A7" s="60" t="s">
        <v>272</v>
      </c>
      <c r="B7" s="31">
        <f xml:space="preserve"> Ratings!V129</f>
        <v>11</v>
      </c>
      <c r="C7" s="31">
        <f xml:space="preserve"> Ratings!V130</f>
        <v>11</v>
      </c>
      <c r="D7" s="31">
        <f xml:space="preserve"> Ratings!V131</f>
        <v>11</v>
      </c>
      <c r="E7" s="31">
        <f xml:space="preserve"> Ratings!V132</f>
        <v>11</v>
      </c>
      <c r="F7" s="31">
        <f xml:space="preserve"> Ratings!V133</f>
        <v>11</v>
      </c>
      <c r="G7" s="31">
        <f xml:space="preserve"> Ratings!V134</f>
        <v>3</v>
      </c>
      <c r="H7" s="31">
        <f xml:space="preserve"> Ratings!V135</f>
        <v>11</v>
      </c>
      <c r="I7" s="31">
        <f xml:space="preserve"> Ratings!V136</f>
        <v>11</v>
      </c>
      <c r="J7" s="31">
        <f xml:space="preserve"> Ratings!V137</f>
        <v>8</v>
      </c>
      <c r="K7" s="31">
        <f xml:space="preserve"> Ratings!V138</f>
        <v>0</v>
      </c>
      <c r="L7" s="31">
        <f xml:space="preserve"> Ratings!V139</f>
        <v>11</v>
      </c>
      <c r="M7" s="31">
        <f xml:space="preserve"> Ratings!V140</f>
        <v>11</v>
      </c>
      <c r="N7" s="61">
        <f t="shared" si="0"/>
        <v>110</v>
      </c>
    </row>
    <row r="8" spans="1:14" x14ac:dyDescent="0.25">
      <c r="A8" s="60" t="s">
        <v>289</v>
      </c>
      <c r="B8" s="31">
        <f xml:space="preserve"> Ratings!Z129</f>
        <v>0</v>
      </c>
      <c r="C8" s="31">
        <f xml:space="preserve"> Ratings!Z130</f>
        <v>11</v>
      </c>
      <c r="D8" s="31">
        <f xml:space="preserve"> Ratings!Z131</f>
        <v>11</v>
      </c>
      <c r="E8" s="31">
        <f xml:space="preserve"> Ratings!Z132</f>
        <v>11</v>
      </c>
      <c r="F8" s="31">
        <f xml:space="preserve"> Ratings!Z133</f>
        <v>11</v>
      </c>
      <c r="G8" s="31">
        <f xml:space="preserve"> Ratings!Z134</f>
        <v>5</v>
      </c>
      <c r="H8" s="31">
        <f xml:space="preserve"> Ratings!Z135</f>
        <v>10</v>
      </c>
      <c r="I8" s="31">
        <f xml:space="preserve"> Ratings!Z136</f>
        <v>11</v>
      </c>
      <c r="J8" s="31">
        <f xml:space="preserve"> Ratings!Z137</f>
        <v>11</v>
      </c>
      <c r="K8" s="31">
        <f xml:space="preserve"> Ratings!Z138</f>
        <v>0</v>
      </c>
      <c r="L8" s="31">
        <f xml:space="preserve"> Ratings!Z139</f>
        <v>9</v>
      </c>
      <c r="M8" s="31">
        <f xml:space="preserve"> Ratings!Z140</f>
        <v>11</v>
      </c>
      <c r="N8" s="61">
        <f t="shared" si="0"/>
        <v>101</v>
      </c>
    </row>
    <row r="9" spans="1:14" x14ac:dyDescent="0.25">
      <c r="A9" s="60" t="s">
        <v>273</v>
      </c>
      <c r="B9" s="31">
        <f>Ratings!AI129</f>
        <v>6</v>
      </c>
      <c r="C9" s="31">
        <f>Ratings!AI130</f>
        <v>20</v>
      </c>
      <c r="D9" s="31">
        <f>Ratings!AI131</f>
        <v>22</v>
      </c>
      <c r="E9" s="31">
        <f>Ratings!AI132</f>
        <v>16</v>
      </c>
      <c r="F9" s="31">
        <f>Ratings!AI133</f>
        <v>22</v>
      </c>
      <c r="G9" s="31">
        <f>Ratings!AI134</f>
        <v>22</v>
      </c>
      <c r="H9" s="31">
        <f>Ratings!AI135</f>
        <v>12</v>
      </c>
      <c r="I9" s="31">
        <f>Ratings!AI136</f>
        <v>22</v>
      </c>
      <c r="J9" s="31">
        <f>Ratings!AI137</f>
        <v>22</v>
      </c>
      <c r="K9" s="31">
        <f>Ratings!AI138</f>
        <v>16</v>
      </c>
      <c r="L9" s="31">
        <f>Ratings!AI139</f>
        <v>20</v>
      </c>
      <c r="M9" s="31">
        <f>Ratings!AI140</f>
        <v>20</v>
      </c>
      <c r="N9" s="61">
        <f t="shared" si="0"/>
        <v>220</v>
      </c>
    </row>
    <row r="10" spans="1:14" x14ac:dyDescent="0.25">
      <c r="A10" s="60" t="s">
        <v>274</v>
      </c>
      <c r="B10" s="31">
        <f>Ratings!AK129</f>
        <v>3</v>
      </c>
      <c r="C10" s="31">
        <f>Ratings!AK130</f>
        <v>7</v>
      </c>
      <c r="D10" s="31">
        <f>Ratings!AK131</f>
        <v>11</v>
      </c>
      <c r="E10" s="31">
        <f>Ratings!AK132</f>
        <v>11</v>
      </c>
      <c r="F10" s="31">
        <f>Ratings!AK133</f>
        <v>7</v>
      </c>
      <c r="G10" s="31">
        <f>Ratings!AK134</f>
        <v>2</v>
      </c>
      <c r="H10" s="31">
        <f>Ratings!AK135</f>
        <v>11</v>
      </c>
      <c r="I10" s="31">
        <f>Ratings!AK136</f>
        <v>3</v>
      </c>
      <c r="J10" s="31">
        <f>Ratings!AK137</f>
        <v>5</v>
      </c>
      <c r="K10" s="31">
        <f>Ratings!AK138</f>
        <v>3</v>
      </c>
      <c r="L10" s="31">
        <f>Ratings!AK139</f>
        <v>7</v>
      </c>
      <c r="M10" s="31">
        <f>Ratings!AK140</f>
        <v>6</v>
      </c>
      <c r="N10" s="61">
        <f t="shared" si="0"/>
        <v>76</v>
      </c>
    </row>
    <row r="11" spans="1:14" x14ac:dyDescent="0.25">
      <c r="A11" s="60" t="s">
        <v>275</v>
      </c>
      <c r="B11" s="31">
        <f>Ratings!AM129</f>
        <v>9</v>
      </c>
      <c r="C11" s="31">
        <f>Ratings!AM130</f>
        <v>11</v>
      </c>
      <c r="D11" s="31">
        <f>Ratings!AM131</f>
        <v>9</v>
      </c>
      <c r="E11" s="31">
        <f>Ratings!AM132</f>
        <v>11</v>
      </c>
      <c r="F11" s="31">
        <f>Ratings!AM133</f>
        <v>10</v>
      </c>
      <c r="G11" s="31">
        <f>Ratings!AM134</f>
        <v>9</v>
      </c>
      <c r="H11" s="31">
        <f>Ratings!AM135</f>
        <v>8</v>
      </c>
      <c r="I11" s="31">
        <f>Ratings!AM136</f>
        <v>10</v>
      </c>
      <c r="J11" s="31">
        <f>Ratings!AM137</f>
        <v>10</v>
      </c>
      <c r="K11" s="31">
        <f>Ratings!AM138</f>
        <v>9</v>
      </c>
      <c r="L11" s="31">
        <f>Ratings!AM139</f>
        <v>9</v>
      </c>
      <c r="M11" s="31">
        <f>Ratings!AM140</f>
        <v>8</v>
      </c>
      <c r="N11" s="61">
        <f t="shared" si="0"/>
        <v>113</v>
      </c>
    </row>
    <row r="12" spans="1:14" x14ac:dyDescent="0.25">
      <c r="A12" s="60" t="s">
        <v>139</v>
      </c>
      <c r="B12" s="31">
        <f>Ratings!AO129</f>
        <v>8</v>
      </c>
      <c r="C12" s="31">
        <f>Ratings!AO130</f>
        <v>11</v>
      </c>
      <c r="D12" s="31">
        <f>Ratings!AO131</f>
        <v>11</v>
      </c>
      <c r="E12" s="31">
        <f>Ratings!AO132</f>
        <v>8</v>
      </c>
      <c r="F12" s="31">
        <f>Ratings!AO133</f>
        <v>11</v>
      </c>
      <c r="G12" s="31">
        <f>Ratings!AO134</f>
        <v>0</v>
      </c>
      <c r="H12" s="31">
        <f>Ratings!AO135</f>
        <v>8</v>
      </c>
      <c r="I12" s="31">
        <f>Ratings!AO136</f>
        <v>8</v>
      </c>
      <c r="J12" s="31">
        <f>Ratings!AO137</f>
        <v>8</v>
      </c>
      <c r="K12" s="31">
        <f>Ratings!AO138</f>
        <v>0</v>
      </c>
      <c r="L12" s="31">
        <f>Ratings!AO139</f>
        <v>8</v>
      </c>
      <c r="M12" s="31">
        <f>Ratings!AO140</f>
        <v>8</v>
      </c>
      <c r="N12" s="61">
        <f t="shared" si="0"/>
        <v>89</v>
      </c>
    </row>
    <row r="13" spans="1:14" x14ac:dyDescent="0.25">
      <c r="A13" s="60" t="s">
        <v>276</v>
      </c>
      <c r="B13" s="31">
        <f>Ratings!AQ129</f>
        <v>1</v>
      </c>
      <c r="C13" s="31">
        <f>Ratings!AQ130</f>
        <v>11</v>
      </c>
      <c r="D13" s="31">
        <f>Ratings!AQ131</f>
        <v>11</v>
      </c>
      <c r="E13" s="31">
        <f>Ratings!AQ132</f>
        <v>2</v>
      </c>
      <c r="F13" s="31">
        <f>Ratings!AQ133</f>
        <v>3</v>
      </c>
      <c r="G13" s="31">
        <f>Ratings!AQ134</f>
        <v>1</v>
      </c>
      <c r="H13" s="31">
        <f>Ratings!AQ135</f>
        <v>0</v>
      </c>
      <c r="I13" s="31">
        <f>Ratings!AQ136</f>
        <v>1</v>
      </c>
      <c r="J13" s="31">
        <f>Ratings!AQ137</f>
        <v>0</v>
      </c>
      <c r="K13" s="31">
        <f>Ratings!AQ138</f>
        <v>0</v>
      </c>
      <c r="L13" s="31">
        <f>Ratings!AQ139</f>
        <v>0</v>
      </c>
      <c r="M13" s="31">
        <f>Ratings!AQ140</f>
        <v>0</v>
      </c>
      <c r="N13" s="61">
        <f>SUM(B13:M13)</f>
        <v>30</v>
      </c>
    </row>
    <row r="14" spans="1:14" x14ac:dyDescent="0.25">
      <c r="A14" s="60" t="s">
        <v>277</v>
      </c>
      <c r="B14" s="167">
        <f>Ratings!$AU$129</f>
        <v>16</v>
      </c>
      <c r="C14" s="167">
        <f>Ratings!$AU$129</f>
        <v>16</v>
      </c>
      <c r="D14" s="167">
        <f>Ratings!$AU$129</f>
        <v>16</v>
      </c>
      <c r="E14" s="167">
        <f>Ratings!$AU$129</f>
        <v>16</v>
      </c>
      <c r="F14" s="167">
        <f>Ratings!$AU$129</f>
        <v>16</v>
      </c>
      <c r="G14" s="167">
        <f>Ratings!$AU$129</f>
        <v>16</v>
      </c>
      <c r="H14" s="167">
        <f>Ratings!$AU$129</f>
        <v>16</v>
      </c>
      <c r="I14" s="167">
        <f>Ratings!$AU$129</f>
        <v>16</v>
      </c>
      <c r="J14" s="167">
        <f>Ratings!$AU$129</f>
        <v>16</v>
      </c>
      <c r="K14" s="167">
        <f>Ratings!$AU$129</f>
        <v>16</v>
      </c>
      <c r="L14" s="167">
        <f>Ratings!$AU$129</f>
        <v>16</v>
      </c>
      <c r="M14" s="167">
        <f>Ratings!$AU$129</f>
        <v>16</v>
      </c>
      <c r="N14" s="61">
        <f>SUM(B14:M14)/12</f>
        <v>16</v>
      </c>
    </row>
    <row r="15" spans="1:14" x14ac:dyDescent="0.25">
      <c r="A15" s="60" t="s">
        <v>278</v>
      </c>
      <c r="B15" s="31">
        <f>Ratings!AY129</f>
        <v>11</v>
      </c>
      <c r="C15" s="31">
        <f>Ratings!AY130</f>
        <v>12</v>
      </c>
      <c r="D15" s="31">
        <f>Ratings!AY131</f>
        <v>12</v>
      </c>
      <c r="E15" s="31">
        <f>Ratings!AY132</f>
        <v>10</v>
      </c>
      <c r="F15" s="31">
        <f>Ratings!AY133</f>
        <v>13</v>
      </c>
      <c r="G15" s="31">
        <f>Ratings!AY134</f>
        <v>10</v>
      </c>
      <c r="H15" s="31">
        <f>Ratings!AY135</f>
        <v>10</v>
      </c>
      <c r="I15" s="31">
        <f>Ratings!AY136</f>
        <v>11</v>
      </c>
      <c r="J15" s="31">
        <f>Ratings!AY137</f>
        <v>14</v>
      </c>
      <c r="K15" s="31">
        <f>Ratings!AY138</f>
        <v>10</v>
      </c>
      <c r="L15" s="31">
        <f>Ratings!AY139</f>
        <v>11</v>
      </c>
      <c r="M15" s="31">
        <f>Ratings!AY140</f>
        <v>4</v>
      </c>
      <c r="N15" s="61">
        <f t="shared" si="0"/>
        <v>128</v>
      </c>
    </row>
    <row r="16" spans="1:14" x14ac:dyDescent="0.25">
      <c r="A16" s="60" t="s">
        <v>249</v>
      </c>
      <c r="B16" s="31">
        <f>Ratings!BA129</f>
        <v>0</v>
      </c>
      <c r="C16" s="31">
        <f>Ratings!BA130</f>
        <v>8</v>
      </c>
      <c r="D16" s="31">
        <f>Ratings!BA131</f>
        <v>11</v>
      </c>
      <c r="E16" s="31">
        <f>Ratings!BA132</f>
        <v>0</v>
      </c>
      <c r="F16" s="31">
        <f>Ratings!BA133</f>
        <v>0</v>
      </c>
      <c r="G16" s="31">
        <f>Ratings!BA134</f>
        <v>0</v>
      </c>
      <c r="H16" s="31">
        <f>Ratings!BA135</f>
        <v>0</v>
      </c>
      <c r="I16" s="31">
        <f>Ratings!BA136</f>
        <v>0</v>
      </c>
      <c r="J16" s="31">
        <f>Ratings!BA137</f>
        <v>0</v>
      </c>
      <c r="K16" s="31">
        <f>Ratings!BA138</f>
        <v>0</v>
      </c>
      <c r="L16" s="31">
        <f>Ratings!BA139</f>
        <v>0</v>
      </c>
      <c r="M16" s="31">
        <f>Ratings!BA140</f>
        <v>0</v>
      </c>
      <c r="N16" s="61">
        <f t="shared" si="0"/>
        <v>19</v>
      </c>
    </row>
    <row r="17" spans="1:14" x14ac:dyDescent="0.25">
      <c r="A17" s="60" t="s">
        <v>136</v>
      </c>
      <c r="B17" s="31">
        <f>Ratings!BC129</f>
        <v>11</v>
      </c>
      <c r="C17" s="31">
        <f>Ratings!BC130</f>
        <v>11</v>
      </c>
      <c r="D17" s="31">
        <f>Ratings!BC131</f>
        <v>11</v>
      </c>
      <c r="E17" s="31">
        <f>Ratings!BC132</f>
        <v>11</v>
      </c>
      <c r="F17" s="31">
        <f>Ratings!BC133</f>
        <v>11</v>
      </c>
      <c r="G17" s="31">
        <f>Ratings!BC134</f>
        <v>11</v>
      </c>
      <c r="H17" s="31">
        <f>Ratings!BC135</f>
        <v>11</v>
      </c>
      <c r="I17" s="31">
        <f>Ratings!BC136</f>
        <v>11</v>
      </c>
      <c r="J17" s="31">
        <f>Ratings!BC137</f>
        <v>11</v>
      </c>
      <c r="K17" s="31">
        <f>Ratings!BC138</f>
        <v>11</v>
      </c>
      <c r="L17" s="31">
        <f>Ratings!BC139</f>
        <v>11</v>
      </c>
      <c r="M17" s="31">
        <f>Ratings!BC140</f>
        <v>11</v>
      </c>
      <c r="N17" s="61">
        <f t="shared" si="0"/>
        <v>132</v>
      </c>
    </row>
    <row r="18" spans="1:14" x14ac:dyDescent="0.25">
      <c r="A18" s="60" t="s">
        <v>279</v>
      </c>
      <c r="B18" s="31">
        <f>Ratings!BG129</f>
        <v>8</v>
      </c>
      <c r="C18" s="31">
        <f>Ratings!BG130</f>
        <v>11</v>
      </c>
      <c r="D18" s="31">
        <f>Ratings!BG131</f>
        <v>12</v>
      </c>
      <c r="E18" s="31">
        <f>Ratings!BG132</f>
        <v>8</v>
      </c>
      <c r="F18" s="31">
        <f>Ratings!BG133</f>
        <v>12</v>
      </c>
      <c r="G18" s="31">
        <f>Ratings!BG134</f>
        <v>4</v>
      </c>
      <c r="H18" s="31">
        <f>Ratings!BG135</f>
        <v>11</v>
      </c>
      <c r="I18" s="31">
        <f>Ratings!BG136</f>
        <v>4</v>
      </c>
      <c r="J18" s="31">
        <f>Ratings!BG137</f>
        <v>12</v>
      </c>
      <c r="K18" s="31">
        <f>Ratings!BG138</f>
        <v>0</v>
      </c>
      <c r="L18" s="31">
        <f>Ratings!BG139</f>
        <v>4</v>
      </c>
      <c r="M18" s="31">
        <f>Ratings!BG140</f>
        <v>4</v>
      </c>
      <c r="N18" s="61">
        <f t="shared" si="0"/>
        <v>90</v>
      </c>
    </row>
    <row r="19" spans="1:14" x14ac:dyDescent="0.25">
      <c r="A19" s="60" t="s">
        <v>280</v>
      </c>
      <c r="B19" s="31">
        <f>Ratings!BK129</f>
        <v>1</v>
      </c>
      <c r="C19" s="31">
        <f>Ratings!BK130</f>
        <v>9</v>
      </c>
      <c r="D19" s="31">
        <f>Ratings!BK131</f>
        <v>9</v>
      </c>
      <c r="E19" s="31">
        <f>Ratings!BK132</f>
        <v>9</v>
      </c>
      <c r="F19" s="31">
        <f>Ratings!BK133</f>
        <v>8</v>
      </c>
      <c r="G19" s="31">
        <f>Ratings!BK134</f>
        <v>2</v>
      </c>
      <c r="H19" s="31">
        <f>Ratings!BK135</f>
        <v>7</v>
      </c>
      <c r="I19" s="31">
        <f>Ratings!BK136</f>
        <v>4</v>
      </c>
      <c r="J19" s="31">
        <f>Ratings!BK137</f>
        <v>9</v>
      </c>
      <c r="K19" s="31">
        <f>Ratings!BK138</f>
        <v>2</v>
      </c>
      <c r="L19" s="31">
        <f>Ratings!BK139</f>
        <v>2</v>
      </c>
      <c r="M19" s="31">
        <f>Ratings!BK140</f>
        <v>3</v>
      </c>
      <c r="N19" s="61">
        <f t="shared" si="0"/>
        <v>65</v>
      </c>
    </row>
    <row r="20" spans="1:14" x14ac:dyDescent="0.25">
      <c r="A20" s="30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</row>
    <row r="21" spans="1:14" ht="18.75" x14ac:dyDescent="0.25">
      <c r="A21" s="32" t="s">
        <v>281</v>
      </c>
      <c r="B21" s="6">
        <f>SUM(B3:B19)-B14</f>
        <v>99</v>
      </c>
      <c r="C21" s="6">
        <f t="shared" ref="C21:M21" si="1">SUM(C3:C19)-C14</f>
        <v>167</v>
      </c>
      <c r="D21" s="6">
        <f t="shared" si="1"/>
        <v>184</v>
      </c>
      <c r="E21" s="6">
        <f t="shared" si="1"/>
        <v>137</v>
      </c>
      <c r="F21" s="6">
        <f t="shared" si="1"/>
        <v>146</v>
      </c>
      <c r="G21" s="6">
        <f t="shared" si="1"/>
        <v>104</v>
      </c>
      <c r="H21" s="6">
        <f t="shared" si="1"/>
        <v>136</v>
      </c>
      <c r="I21" s="6">
        <f t="shared" si="1"/>
        <v>137</v>
      </c>
      <c r="J21" s="6">
        <f t="shared" si="1"/>
        <v>138</v>
      </c>
      <c r="K21" s="6">
        <f t="shared" si="1"/>
        <v>69</v>
      </c>
      <c r="L21" s="6">
        <f t="shared" si="1"/>
        <v>126</v>
      </c>
      <c r="M21" s="6">
        <f t="shared" si="1"/>
        <v>126</v>
      </c>
      <c r="N21" s="64">
        <f>SUM(N3:N19)/12</f>
        <v>132.08333333333334</v>
      </c>
    </row>
    <row r="22" spans="1:14" ht="18.75" x14ac:dyDescent="0.25">
      <c r="A22" s="150" t="s">
        <v>282</v>
      </c>
      <c r="B22" s="148">
        <f>Ratings!D129</f>
        <v>87</v>
      </c>
      <c r="C22" s="148">
        <f>Ratings!D130</f>
        <v>5</v>
      </c>
      <c r="D22" s="148">
        <f>Ratings!D131</f>
        <v>2</v>
      </c>
      <c r="E22" s="148">
        <f>Ratings!D132</f>
        <v>33</v>
      </c>
      <c r="F22" s="148">
        <f>Ratings!D133</f>
        <v>24</v>
      </c>
      <c r="G22" s="148">
        <f>Ratings!D134</f>
        <v>80</v>
      </c>
      <c r="H22" s="148">
        <f>Ratings!D135</f>
        <v>35</v>
      </c>
      <c r="I22" s="148">
        <f>Ratings!D136</f>
        <v>33</v>
      </c>
      <c r="J22" s="148">
        <f>Ratings!D137</f>
        <v>31</v>
      </c>
      <c r="K22" s="148">
        <f>Ratings!D138</f>
        <v>101</v>
      </c>
      <c r="L22" s="148">
        <f>Ratings!D139</f>
        <v>51</v>
      </c>
      <c r="M22" s="148">
        <f>Ratings!D140</f>
        <v>51</v>
      </c>
      <c r="N22" s="6"/>
    </row>
    <row r="23" spans="1:14" ht="18.75" x14ac:dyDescent="0.4">
      <c r="A23" s="151"/>
      <c r="B23" s="151"/>
      <c r="C23" s="151"/>
      <c r="D23" s="151"/>
      <c r="E23" s="151"/>
      <c r="F23" s="151"/>
      <c r="G23" s="151"/>
      <c r="H23" s="151"/>
      <c r="I23" s="151"/>
      <c r="J23" s="151"/>
      <c r="K23" s="151"/>
      <c r="L23" s="151"/>
      <c r="M23" s="151"/>
    </row>
  </sheetData>
  <pageMargins left="0.2" right="0.2" top="0.75" bottom="0.75" header="0.3" footer="0.3"/>
  <pageSetup orientation="landscape" r:id="rId1"/>
  <ignoredErrors>
    <ignoredError sqref="D9:E9 G9:M9 B11:C11 E11:I11 L11:M11 B16 F16:I16 E19 G19:M19 B19" emptyCellReferenc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3BA7B-206B-40B0-B113-5E4B15CDBC4D}">
  <sheetPr>
    <tabColor theme="5" tint="-0.249977111117893"/>
  </sheetPr>
  <dimension ref="A1:G104"/>
  <sheetViews>
    <sheetView zoomScale="120" zoomScaleNormal="120" workbookViewId="0">
      <selection sqref="A1:E104"/>
    </sheetView>
  </sheetViews>
  <sheetFormatPr defaultRowHeight="15" x14ac:dyDescent="0.25"/>
  <cols>
    <col min="1" max="1" width="27.85546875" customWidth="1"/>
    <col min="2" max="2" width="8.140625" customWidth="1"/>
    <col min="3" max="3" width="4.85546875" customWidth="1"/>
    <col min="4" max="4" width="9.7109375" customWidth="1"/>
    <col min="6" max="6" width="7" customWidth="1"/>
    <col min="7" max="7" width="17" customWidth="1"/>
  </cols>
  <sheetData>
    <row r="1" spans="1:7" ht="15.75" x14ac:dyDescent="0.25">
      <c r="A1" s="14" t="s">
        <v>64</v>
      </c>
      <c r="B1" s="65">
        <v>746</v>
      </c>
      <c r="C1" s="66">
        <v>7</v>
      </c>
      <c r="D1" s="104">
        <f>Ratings!B66</f>
        <v>187</v>
      </c>
      <c r="E1" s="13">
        <f>RANK(D1,$D$1:D104)</f>
        <v>1</v>
      </c>
      <c r="G1" s="431">
        <v>45993</v>
      </c>
    </row>
    <row r="2" spans="1:7" ht="16.5" thickBot="1" x14ac:dyDescent="0.3">
      <c r="A2" s="14" t="s">
        <v>11</v>
      </c>
      <c r="B2" s="65">
        <v>83</v>
      </c>
      <c r="C2" s="66">
        <v>15</v>
      </c>
      <c r="D2" s="104">
        <f>Ratings!B131</f>
        <v>184</v>
      </c>
      <c r="E2" s="13">
        <f>RANK(D2,$D$1:$D$104)</f>
        <v>2</v>
      </c>
      <c r="G2" s="431"/>
    </row>
    <row r="3" spans="1:7" ht="16.5" thickBot="1" x14ac:dyDescent="0.3">
      <c r="A3" s="14" t="s">
        <v>65</v>
      </c>
      <c r="B3" s="65">
        <v>429</v>
      </c>
      <c r="C3" s="66">
        <v>7</v>
      </c>
      <c r="D3" s="104">
        <f>Ratings!B65</f>
        <v>174</v>
      </c>
      <c r="E3" s="13">
        <f>RANK(D3,$D$1:D106)</f>
        <v>3</v>
      </c>
      <c r="G3" s="67" t="s">
        <v>0</v>
      </c>
    </row>
    <row r="4" spans="1:7" ht="15.75" x14ac:dyDescent="0.25">
      <c r="A4" s="14" t="s">
        <v>66</v>
      </c>
      <c r="B4" s="65">
        <v>214</v>
      </c>
      <c r="C4" s="66">
        <v>7</v>
      </c>
      <c r="D4" s="104">
        <f>Ratings!B64</f>
        <v>169</v>
      </c>
      <c r="E4" s="13">
        <f>RANK(D4,$D$1:D107)</f>
        <v>4</v>
      </c>
      <c r="G4" s="432" t="s">
        <v>521</v>
      </c>
    </row>
    <row r="5" spans="1:7" ht="16.5" thickBot="1" x14ac:dyDescent="0.3">
      <c r="A5" s="14" t="s">
        <v>12</v>
      </c>
      <c r="B5" s="65">
        <v>78</v>
      </c>
      <c r="C5" s="66">
        <v>15</v>
      </c>
      <c r="D5" s="104">
        <f>Ratings!B130</f>
        <v>167</v>
      </c>
      <c r="E5" s="13">
        <f>RANK(D5,$D$1:D108)</f>
        <v>5</v>
      </c>
      <c r="G5" s="432"/>
    </row>
    <row r="6" spans="1:7" ht="15.75" x14ac:dyDescent="0.25">
      <c r="A6" s="14" t="s">
        <v>53</v>
      </c>
      <c r="B6" s="65">
        <v>460</v>
      </c>
      <c r="C6" s="66">
        <v>9</v>
      </c>
      <c r="D6" s="104">
        <f>Ratings!B79</f>
        <v>167</v>
      </c>
      <c r="E6" s="13">
        <f>RANK(D6,$D$1:D109)</f>
        <v>5</v>
      </c>
      <c r="G6" s="429">
        <f>D1*0.7</f>
        <v>130.9</v>
      </c>
    </row>
    <row r="7" spans="1:7" ht="16.5" thickBot="1" x14ac:dyDescent="0.3">
      <c r="A7" s="14" t="s">
        <v>96</v>
      </c>
      <c r="B7" s="65">
        <v>181</v>
      </c>
      <c r="C7" s="66">
        <v>4</v>
      </c>
      <c r="D7" s="104">
        <f>Ratings!B28</f>
        <v>164</v>
      </c>
      <c r="E7" s="13">
        <f>RANK(D7,$D$1:D110)</f>
        <v>7</v>
      </c>
      <c r="G7" s="433"/>
    </row>
    <row r="8" spans="1:7" ht="15.75" x14ac:dyDescent="0.25">
      <c r="A8" s="14" t="s">
        <v>88</v>
      </c>
      <c r="B8" s="65">
        <v>1336</v>
      </c>
      <c r="C8" s="66">
        <v>4</v>
      </c>
      <c r="D8" s="104">
        <f>Ratings!B36</f>
        <v>163</v>
      </c>
      <c r="E8" s="13">
        <f>RANK(D8,$D$1:D111)</f>
        <v>8</v>
      </c>
      <c r="G8" s="434" t="s">
        <v>548</v>
      </c>
    </row>
    <row r="9" spans="1:7" ht="16.5" thickBot="1" x14ac:dyDescent="0.3">
      <c r="A9" s="14" t="s">
        <v>70</v>
      </c>
      <c r="B9" s="65">
        <v>2500</v>
      </c>
      <c r="C9" s="66">
        <v>6</v>
      </c>
      <c r="D9" s="104">
        <f>Ratings!B58</f>
        <v>163</v>
      </c>
      <c r="E9" s="13">
        <f>RANK(D9,$D$1:D112)</f>
        <v>8</v>
      </c>
      <c r="G9" s="434"/>
    </row>
    <row r="10" spans="1:7" ht="15.75" x14ac:dyDescent="0.25">
      <c r="A10" s="14" t="s">
        <v>63</v>
      </c>
      <c r="B10" s="65">
        <v>826</v>
      </c>
      <c r="C10" s="66">
        <v>7</v>
      </c>
      <c r="D10" s="104">
        <f>Ratings!B67</f>
        <v>163</v>
      </c>
      <c r="E10" s="13">
        <f>RANK(D10,$D$1:D113)</f>
        <v>8</v>
      </c>
      <c r="G10" s="435">
        <f>ROUND(D1*0.7-1,0)</f>
        <v>130</v>
      </c>
    </row>
    <row r="11" spans="1:7" ht="16.5" thickBot="1" x14ac:dyDescent="0.3">
      <c r="A11" s="14" t="s">
        <v>74</v>
      </c>
      <c r="B11" s="65">
        <v>925</v>
      </c>
      <c r="C11" s="66">
        <v>6</v>
      </c>
      <c r="D11" s="104">
        <f>Ratings!B54</f>
        <v>162</v>
      </c>
      <c r="E11" s="13">
        <f>RANK(D11,$D$1:D114)</f>
        <v>11</v>
      </c>
      <c r="G11" s="436"/>
    </row>
    <row r="12" spans="1:7" ht="15.75" x14ac:dyDescent="0.25">
      <c r="A12" s="14" t="s">
        <v>84</v>
      </c>
      <c r="B12" s="65">
        <v>307</v>
      </c>
      <c r="C12" s="66">
        <v>5</v>
      </c>
      <c r="D12" s="104">
        <f>Ratings!B42</f>
        <v>159</v>
      </c>
      <c r="E12" s="13">
        <f>RANK(D12,$D$1:D115)</f>
        <v>12</v>
      </c>
      <c r="G12" s="437" t="s">
        <v>520</v>
      </c>
    </row>
    <row r="13" spans="1:7" ht="16.5" thickBot="1" x14ac:dyDescent="0.3">
      <c r="A13" s="14" t="s">
        <v>75</v>
      </c>
      <c r="B13" s="65">
        <v>761</v>
      </c>
      <c r="C13" s="66">
        <v>6</v>
      </c>
      <c r="D13" s="104">
        <f>Ratings!B53</f>
        <v>158</v>
      </c>
      <c r="E13" s="13">
        <f>RANK(D13,$D$1:D116)</f>
        <v>13</v>
      </c>
      <c r="G13" s="437"/>
    </row>
    <row r="14" spans="1:7" ht="15.75" x14ac:dyDescent="0.25">
      <c r="A14" s="14" t="s">
        <v>44</v>
      </c>
      <c r="B14" s="65">
        <v>172</v>
      </c>
      <c r="C14" s="66">
        <v>11</v>
      </c>
      <c r="D14" s="104">
        <f>Ratings!B90</f>
        <v>157</v>
      </c>
      <c r="E14" s="13">
        <f>RANK(D14,$D$1:D117)</f>
        <v>14</v>
      </c>
      <c r="G14" s="429">
        <f>ROUND(D1*0.5,0)</f>
        <v>94</v>
      </c>
    </row>
    <row r="15" spans="1:7" ht="16.5" thickBot="1" x14ac:dyDescent="0.3">
      <c r="A15" s="14" t="s">
        <v>106</v>
      </c>
      <c r="B15" s="65">
        <v>74</v>
      </c>
      <c r="C15" s="66">
        <v>3</v>
      </c>
      <c r="D15" s="104">
        <f>Ratings!B15</f>
        <v>157</v>
      </c>
      <c r="E15" s="13">
        <f>RANK(D15,$D$1:D118)</f>
        <v>14</v>
      </c>
      <c r="G15" s="430"/>
    </row>
    <row r="16" spans="1:7" ht="15.75" x14ac:dyDescent="0.25">
      <c r="A16" s="14" t="s">
        <v>76</v>
      </c>
      <c r="B16" s="65">
        <v>720</v>
      </c>
      <c r="C16" s="66">
        <v>6</v>
      </c>
      <c r="D16" s="104">
        <f>Ratings!B52</f>
        <v>156</v>
      </c>
      <c r="E16" s="13">
        <f>RANK(D16,$D$1:D119)</f>
        <v>16</v>
      </c>
    </row>
    <row r="17" spans="1:5" ht="15.75" x14ac:dyDescent="0.25">
      <c r="A17" s="14" t="s">
        <v>50</v>
      </c>
      <c r="B17" s="65">
        <v>1183</v>
      </c>
      <c r="C17" s="66">
        <v>9</v>
      </c>
      <c r="D17" s="104">
        <f>Ratings!B82</f>
        <v>153</v>
      </c>
      <c r="E17" s="13">
        <f>RANK(D17,$D$1:D120)</f>
        <v>17</v>
      </c>
    </row>
    <row r="18" spans="1:5" ht="15.75" x14ac:dyDescent="0.25">
      <c r="A18" s="14" t="s">
        <v>62</v>
      </c>
      <c r="B18" s="65">
        <v>1147</v>
      </c>
      <c r="C18" s="66">
        <v>7</v>
      </c>
      <c r="D18" s="104">
        <f>Ratings!B68</f>
        <v>153</v>
      </c>
      <c r="E18" s="13">
        <f>RANK(D18,$D$1:D121)</f>
        <v>17</v>
      </c>
    </row>
    <row r="19" spans="1:5" ht="15.75" x14ac:dyDescent="0.25">
      <c r="A19" s="14" t="s">
        <v>284</v>
      </c>
      <c r="B19" s="65">
        <v>349</v>
      </c>
      <c r="C19" s="66">
        <v>3</v>
      </c>
      <c r="D19" s="104">
        <f>Ratings!B20</f>
        <v>153</v>
      </c>
      <c r="E19" s="13">
        <f>RANK(D19,$D$1:D122)</f>
        <v>17</v>
      </c>
    </row>
    <row r="20" spans="1:5" ht="15.75" x14ac:dyDescent="0.25">
      <c r="A20" s="14" t="s">
        <v>285</v>
      </c>
      <c r="B20" s="65">
        <v>866</v>
      </c>
      <c r="C20" s="66">
        <v>4</v>
      </c>
      <c r="D20" s="104">
        <f>Ratings!B30</f>
        <v>152</v>
      </c>
      <c r="E20" s="13">
        <f>RANK(D20,$D$1:D123)</f>
        <v>20</v>
      </c>
    </row>
    <row r="21" spans="1:5" ht="15.75" x14ac:dyDescent="0.25">
      <c r="A21" s="14" t="s">
        <v>77</v>
      </c>
      <c r="B21" s="65">
        <v>227</v>
      </c>
      <c r="C21" s="66">
        <v>6</v>
      </c>
      <c r="D21" s="104">
        <f>Ratings!B51</f>
        <v>152</v>
      </c>
      <c r="E21" s="13">
        <f>RANK(D21,$D$1:D124)</f>
        <v>20</v>
      </c>
    </row>
    <row r="22" spans="1:5" ht="15.75" x14ac:dyDescent="0.25">
      <c r="A22" s="14" t="s">
        <v>93</v>
      </c>
      <c r="B22" s="65">
        <v>1133</v>
      </c>
      <c r="C22" s="66">
        <v>4</v>
      </c>
      <c r="D22" s="104">
        <f>Ratings!B31</f>
        <v>150</v>
      </c>
      <c r="E22" s="13">
        <f>RANK(D22,$D$1:D125)</f>
        <v>22</v>
      </c>
    </row>
    <row r="23" spans="1:5" ht="15.75" x14ac:dyDescent="0.25">
      <c r="A23" s="14" t="s">
        <v>102</v>
      </c>
      <c r="B23" s="65">
        <v>223</v>
      </c>
      <c r="C23" s="66">
        <v>3</v>
      </c>
      <c r="D23" s="104">
        <f>Ratings!B19</f>
        <v>149</v>
      </c>
      <c r="E23" s="13">
        <f>RANK(D23,$D$1:D126)</f>
        <v>23</v>
      </c>
    </row>
    <row r="24" spans="1:5" ht="15.75" x14ac:dyDescent="0.25">
      <c r="A24" s="14" t="s">
        <v>26</v>
      </c>
      <c r="B24" s="65">
        <v>174</v>
      </c>
      <c r="C24" s="66">
        <v>13</v>
      </c>
      <c r="D24" s="104">
        <f>Ratings!B112</f>
        <v>146</v>
      </c>
      <c r="E24" s="13">
        <f>RANK(D24,$D$1:D127)</f>
        <v>24</v>
      </c>
    </row>
    <row r="25" spans="1:5" ht="15.75" x14ac:dyDescent="0.25">
      <c r="A25" s="14" t="s">
        <v>9</v>
      </c>
      <c r="B25" s="65">
        <v>98</v>
      </c>
      <c r="C25" s="66">
        <v>15</v>
      </c>
      <c r="D25" s="104">
        <f>Ratings!B133</f>
        <v>146</v>
      </c>
      <c r="E25" s="13">
        <f>RANK(D25,$D$1:D128)</f>
        <v>24</v>
      </c>
    </row>
    <row r="26" spans="1:5" ht="15.75" x14ac:dyDescent="0.25">
      <c r="A26" s="14" t="s">
        <v>83</v>
      </c>
      <c r="B26" s="65">
        <v>410</v>
      </c>
      <c r="C26" s="66">
        <v>5</v>
      </c>
      <c r="D26" s="104">
        <f>Ratings!B43</f>
        <v>145</v>
      </c>
      <c r="E26" s="13">
        <f>RANK(D26,$D$1:D129)</f>
        <v>26</v>
      </c>
    </row>
    <row r="27" spans="1:5" ht="15.75" x14ac:dyDescent="0.25">
      <c r="A27" s="14" t="s">
        <v>43</v>
      </c>
      <c r="B27" s="65">
        <v>194</v>
      </c>
      <c r="C27" s="66">
        <v>11</v>
      </c>
      <c r="D27" s="104">
        <f>Ratings!B91</f>
        <v>145</v>
      </c>
      <c r="E27" s="13">
        <f>RANK(D27,$D$1:D130)</f>
        <v>26</v>
      </c>
    </row>
    <row r="28" spans="1:5" ht="15.75" x14ac:dyDescent="0.25">
      <c r="A28" s="14" t="s">
        <v>92</v>
      </c>
      <c r="B28" s="65">
        <v>1173</v>
      </c>
      <c r="C28" s="66">
        <v>4</v>
      </c>
      <c r="D28" s="109">
        <f>Ratings!B32</f>
        <v>144</v>
      </c>
      <c r="E28" s="13">
        <f>RANK(D28,$D$1:D131)</f>
        <v>28</v>
      </c>
    </row>
    <row r="29" spans="1:5" ht="15.75" x14ac:dyDescent="0.25">
      <c r="A29" s="14" t="s">
        <v>113</v>
      </c>
      <c r="B29" s="65">
        <v>1101</v>
      </c>
      <c r="C29" s="66">
        <v>1</v>
      </c>
      <c r="D29" s="104">
        <f>Ratings!B6</f>
        <v>143</v>
      </c>
      <c r="E29" s="13">
        <f>RANK(D29,$D$1:D132)</f>
        <v>29</v>
      </c>
    </row>
    <row r="30" spans="1:5" ht="15.75" x14ac:dyDescent="0.25">
      <c r="A30" s="14" t="s">
        <v>67</v>
      </c>
      <c r="B30" s="65">
        <v>145</v>
      </c>
      <c r="C30" s="66">
        <v>7</v>
      </c>
      <c r="D30" s="104">
        <f>Ratings!B63</f>
        <v>141</v>
      </c>
      <c r="E30" s="13">
        <f>RANK(D30,$D$1:D133)</f>
        <v>30</v>
      </c>
    </row>
    <row r="31" spans="1:5" ht="15.75" x14ac:dyDescent="0.25">
      <c r="A31" s="14" t="s">
        <v>5</v>
      </c>
      <c r="B31" s="65">
        <v>593</v>
      </c>
      <c r="C31" s="66">
        <v>15</v>
      </c>
      <c r="D31" s="104">
        <f>Ratings!B137</f>
        <v>138</v>
      </c>
      <c r="E31" s="13">
        <f>RANK(D31,$D$1:D134)</f>
        <v>31</v>
      </c>
    </row>
    <row r="32" spans="1:5" ht="15.75" x14ac:dyDescent="0.25">
      <c r="A32" s="14" t="s">
        <v>72</v>
      </c>
      <c r="B32" s="65">
        <v>1526</v>
      </c>
      <c r="C32" s="66">
        <v>6</v>
      </c>
      <c r="D32" s="104">
        <f>Ratings!B56</f>
        <v>138</v>
      </c>
      <c r="E32" s="13">
        <f>RANK(D32,$D$1:D135)</f>
        <v>31</v>
      </c>
    </row>
    <row r="33" spans="1:5" ht="15.75" x14ac:dyDescent="0.25">
      <c r="A33" s="14" t="s">
        <v>6</v>
      </c>
      <c r="B33" s="65">
        <v>381</v>
      </c>
      <c r="C33" s="66">
        <v>15</v>
      </c>
      <c r="D33" s="109">
        <f>Ratings!B136</f>
        <v>137</v>
      </c>
      <c r="E33" s="13">
        <f>RANK(D33,$D$1:D136)</f>
        <v>33</v>
      </c>
    </row>
    <row r="34" spans="1:5" ht="15.75" x14ac:dyDescent="0.25">
      <c r="A34" s="14" t="s">
        <v>10</v>
      </c>
      <c r="B34" s="65">
        <v>84</v>
      </c>
      <c r="C34" s="66">
        <v>15</v>
      </c>
      <c r="D34" s="104">
        <f>Ratings!B132</f>
        <v>137</v>
      </c>
      <c r="E34" s="13">
        <f>RANK(D34,$D$1:D137)</f>
        <v>33</v>
      </c>
    </row>
    <row r="35" spans="1:5" ht="15.75" x14ac:dyDescent="0.25">
      <c r="A35" s="14" t="s">
        <v>7</v>
      </c>
      <c r="B35" s="65">
        <v>276</v>
      </c>
      <c r="C35" s="66">
        <v>15</v>
      </c>
      <c r="D35" s="115">
        <f>Ratings!B135</f>
        <v>136</v>
      </c>
      <c r="E35" s="13">
        <f>RANK(D35,$D$1:D138)</f>
        <v>35</v>
      </c>
    </row>
    <row r="36" spans="1:5" ht="15.75" x14ac:dyDescent="0.25">
      <c r="A36" s="14" t="s">
        <v>68</v>
      </c>
      <c r="B36" s="65">
        <v>100</v>
      </c>
      <c r="C36" s="66">
        <v>7</v>
      </c>
      <c r="D36" s="109">
        <f>Ratings!B62</f>
        <v>136</v>
      </c>
      <c r="E36" s="13">
        <f>RANK(D36,$D$1:D139)</f>
        <v>35</v>
      </c>
    </row>
    <row r="37" spans="1:5" ht="15.75" x14ac:dyDescent="0.25">
      <c r="A37" s="14" t="s">
        <v>52</v>
      </c>
      <c r="B37" s="65">
        <v>941</v>
      </c>
      <c r="C37" s="66">
        <v>9</v>
      </c>
      <c r="D37" s="104">
        <f>Ratings!B80</f>
        <v>135</v>
      </c>
      <c r="E37" s="13">
        <f>RANK(D37,$D$1:D140)</f>
        <v>37</v>
      </c>
    </row>
    <row r="38" spans="1:5" ht="15.75" x14ac:dyDescent="0.25">
      <c r="A38" s="14" t="s">
        <v>90</v>
      </c>
      <c r="B38" s="65">
        <v>1229</v>
      </c>
      <c r="C38" s="66">
        <v>4</v>
      </c>
      <c r="D38" s="104">
        <f>Ratings!B34</f>
        <v>135</v>
      </c>
      <c r="E38" s="13">
        <f>RANK(D38,$D$1:D141)</f>
        <v>37</v>
      </c>
    </row>
    <row r="39" spans="1:5" ht="15.75" x14ac:dyDescent="0.25">
      <c r="A39" s="14" t="s">
        <v>283</v>
      </c>
      <c r="B39" s="65">
        <v>833</v>
      </c>
      <c r="C39" s="66">
        <v>13</v>
      </c>
      <c r="D39" s="104">
        <f>Ratings!B114</f>
        <v>135</v>
      </c>
      <c r="E39" s="13">
        <f>RANK(D39,$D$1:D142)</f>
        <v>37</v>
      </c>
    </row>
    <row r="40" spans="1:5" ht="15.75" x14ac:dyDescent="0.25">
      <c r="A40" s="14" t="s">
        <v>81</v>
      </c>
      <c r="B40" s="65">
        <v>596</v>
      </c>
      <c r="C40" s="66">
        <v>5</v>
      </c>
      <c r="D40" s="104">
        <f>Ratings!B45</f>
        <v>134</v>
      </c>
      <c r="E40" s="13">
        <f>RANK(D40,$D$1:D143)</f>
        <v>40</v>
      </c>
    </row>
    <row r="41" spans="1:5" ht="15.75" x14ac:dyDescent="0.25">
      <c r="A41" s="14" t="s">
        <v>109</v>
      </c>
      <c r="B41" s="65">
        <v>1539</v>
      </c>
      <c r="C41" s="66">
        <v>1</v>
      </c>
      <c r="D41" s="104">
        <f>Ratings!B10</f>
        <v>134</v>
      </c>
      <c r="E41" s="13">
        <f>RANK(D41,$D$1:D144)</f>
        <v>40</v>
      </c>
    </row>
    <row r="42" spans="1:5" ht="15.75" x14ac:dyDescent="0.25">
      <c r="A42" s="14" t="s">
        <v>86</v>
      </c>
      <c r="B42" s="65">
        <v>59</v>
      </c>
      <c r="C42" s="66">
        <v>5</v>
      </c>
      <c r="D42" s="109">
        <f>Ratings!B40</f>
        <v>133</v>
      </c>
      <c r="E42" s="13">
        <f>RANK(D42,$D$1:D145)</f>
        <v>42</v>
      </c>
    </row>
    <row r="43" spans="1:5" ht="15.75" x14ac:dyDescent="0.25">
      <c r="A43" s="14" t="s">
        <v>57</v>
      </c>
      <c r="B43" s="65">
        <v>206</v>
      </c>
      <c r="C43" s="66">
        <v>9</v>
      </c>
      <c r="D43" s="104">
        <f>Ratings!B75</f>
        <v>133</v>
      </c>
      <c r="E43" s="13">
        <f>RANK(D43,$D$1:D146)</f>
        <v>42</v>
      </c>
    </row>
    <row r="44" spans="1:5" ht="15.75" x14ac:dyDescent="0.25">
      <c r="A44" s="14" t="s">
        <v>101</v>
      </c>
      <c r="B44" s="65">
        <v>480</v>
      </c>
      <c r="C44" s="66">
        <v>3</v>
      </c>
      <c r="D44" s="104">
        <f>Ratings!B21</f>
        <v>133</v>
      </c>
      <c r="E44" s="13">
        <f>RANK(D44,$D$1:D147)</f>
        <v>42</v>
      </c>
    </row>
    <row r="45" spans="1:5" ht="15.75" x14ac:dyDescent="0.25">
      <c r="A45" s="14" t="s">
        <v>34</v>
      </c>
      <c r="B45" s="65">
        <v>250</v>
      </c>
      <c r="C45" s="66">
        <v>12</v>
      </c>
      <c r="D45" s="104">
        <f>Ratings!B102</f>
        <v>132</v>
      </c>
      <c r="E45" s="13">
        <f>RANK(D45,$D$1:D148)</f>
        <v>45</v>
      </c>
    </row>
    <row r="46" spans="1:5" ht="15.75" x14ac:dyDescent="0.25">
      <c r="A46" s="14" t="s">
        <v>47</v>
      </c>
      <c r="B46" s="65">
        <v>16</v>
      </c>
      <c r="C46" s="66">
        <v>11</v>
      </c>
      <c r="D46" s="109">
        <f>Ratings!B87</f>
        <v>131</v>
      </c>
      <c r="E46" s="13">
        <f>RANK(D46,$D$1:D149)</f>
        <v>46</v>
      </c>
    </row>
    <row r="47" spans="1:5" ht="15.75" x14ac:dyDescent="0.25">
      <c r="A47" s="14" t="s">
        <v>27</v>
      </c>
      <c r="B47" s="65">
        <v>102</v>
      </c>
      <c r="C47" s="66">
        <v>13</v>
      </c>
      <c r="D47" s="104">
        <f>Ratings!B111</f>
        <v>131</v>
      </c>
      <c r="E47" s="13">
        <f>RANK(D47,$D$1:D150)</f>
        <v>46</v>
      </c>
    </row>
    <row r="48" spans="1:5" ht="15.75" x14ac:dyDescent="0.25">
      <c r="A48" s="14" t="s">
        <v>73</v>
      </c>
      <c r="B48" s="65">
        <v>1191</v>
      </c>
      <c r="C48" s="66">
        <v>6</v>
      </c>
      <c r="D48" s="109">
        <f>Ratings!B55</f>
        <v>130</v>
      </c>
      <c r="E48" s="13">
        <f>RANK(D48,$D$1:D151)</f>
        <v>48</v>
      </c>
    </row>
    <row r="49" spans="1:5" ht="15.75" x14ac:dyDescent="0.25">
      <c r="A49" s="14" t="s">
        <v>112</v>
      </c>
      <c r="B49" s="65">
        <v>1153</v>
      </c>
      <c r="C49" s="66">
        <v>1</v>
      </c>
      <c r="D49" s="104">
        <f>Ratings!B7</f>
        <v>128</v>
      </c>
      <c r="E49" s="13">
        <f>RANK(D49,$D$1:D152)</f>
        <v>49</v>
      </c>
    </row>
    <row r="50" spans="1:5" ht="15.75" x14ac:dyDescent="0.25">
      <c r="A50" s="14" t="s">
        <v>55</v>
      </c>
      <c r="B50" s="65">
        <v>327</v>
      </c>
      <c r="C50" s="66">
        <v>9</v>
      </c>
      <c r="D50" s="109">
        <f>Ratings!B77</f>
        <v>127</v>
      </c>
      <c r="E50" s="13">
        <f>RANK(D50,$D$1:D153)</f>
        <v>50</v>
      </c>
    </row>
    <row r="51" spans="1:5" ht="15.75" x14ac:dyDescent="0.25">
      <c r="A51" s="14" t="s">
        <v>3</v>
      </c>
      <c r="B51" s="65">
        <v>2505</v>
      </c>
      <c r="C51" s="66">
        <v>15</v>
      </c>
      <c r="D51" s="115">
        <f>Ratings!B139</f>
        <v>126</v>
      </c>
      <c r="E51" s="13">
        <f>RANK(D51,$D$1:D154)</f>
        <v>51</v>
      </c>
    </row>
    <row r="52" spans="1:5" ht="15.75" x14ac:dyDescent="0.25">
      <c r="A52" s="14" t="s">
        <v>36</v>
      </c>
      <c r="B52" s="65">
        <v>234</v>
      </c>
      <c r="C52" s="66">
        <v>12</v>
      </c>
      <c r="D52" s="109">
        <f>Ratings!B100</f>
        <v>126</v>
      </c>
      <c r="E52" s="13">
        <f>RANK(D52,$D$1:D155)</f>
        <v>51</v>
      </c>
    </row>
    <row r="53" spans="1:5" ht="15.75" x14ac:dyDescent="0.25">
      <c r="A53" s="14" t="s">
        <v>2</v>
      </c>
      <c r="B53" s="65">
        <v>2568</v>
      </c>
      <c r="C53" s="66">
        <v>15</v>
      </c>
      <c r="D53" s="104">
        <f>Ratings!B140</f>
        <v>126</v>
      </c>
      <c r="E53" s="13">
        <f>RANK(D53,$D$1:D156)</f>
        <v>51</v>
      </c>
    </row>
    <row r="54" spans="1:5" ht="15.75" x14ac:dyDescent="0.25">
      <c r="A54" s="14" t="s">
        <v>28</v>
      </c>
      <c r="B54" s="65">
        <v>53</v>
      </c>
      <c r="C54" s="66">
        <v>13</v>
      </c>
      <c r="D54" s="109">
        <f>Ratings!B110</f>
        <v>125</v>
      </c>
      <c r="E54" s="13">
        <f>RANK(D54,$D$1:D157)</f>
        <v>54</v>
      </c>
    </row>
    <row r="55" spans="1:5" ht="15.75" x14ac:dyDescent="0.25">
      <c r="A55" s="14" t="s">
        <v>91</v>
      </c>
      <c r="B55" s="65">
        <v>1207</v>
      </c>
      <c r="C55" s="66">
        <v>4</v>
      </c>
      <c r="D55" s="104">
        <f>Ratings!B33</f>
        <v>125</v>
      </c>
      <c r="E55" s="13">
        <f>RANK(D55,$D$1:D158)</f>
        <v>54</v>
      </c>
    </row>
    <row r="56" spans="1:5" ht="15.75" x14ac:dyDescent="0.25">
      <c r="A56" s="14" t="s">
        <v>18</v>
      </c>
      <c r="B56" s="65">
        <v>101</v>
      </c>
      <c r="C56" s="66">
        <v>14</v>
      </c>
      <c r="D56" s="109">
        <f>Ratings!B122</f>
        <v>124</v>
      </c>
      <c r="E56" s="13">
        <f>RANK(D56,$D$1:D159)</f>
        <v>56</v>
      </c>
    </row>
    <row r="57" spans="1:5" ht="15.75" x14ac:dyDescent="0.25">
      <c r="A57" s="14" t="s">
        <v>40</v>
      </c>
      <c r="B57" s="65">
        <v>1358</v>
      </c>
      <c r="C57" s="66">
        <v>11</v>
      </c>
      <c r="D57" s="109">
        <f>Ratings!B94</f>
        <v>123</v>
      </c>
      <c r="E57" s="13">
        <f>RANK(D57,$D$1:D160)</f>
        <v>57</v>
      </c>
    </row>
    <row r="58" spans="1:5" ht="15.75" x14ac:dyDescent="0.25">
      <c r="A58" s="14" t="s">
        <v>89</v>
      </c>
      <c r="B58" s="65">
        <v>1276</v>
      </c>
      <c r="C58" s="66">
        <v>4</v>
      </c>
      <c r="D58" s="109">
        <f>Ratings!B35</f>
        <v>122</v>
      </c>
      <c r="E58" s="13">
        <f>RANK(D58,$D$1:D161)</f>
        <v>58</v>
      </c>
    </row>
    <row r="59" spans="1:5" ht="15.75" x14ac:dyDescent="0.25">
      <c r="A59" s="14" t="s">
        <v>31</v>
      </c>
      <c r="B59" s="65">
        <v>1436</v>
      </c>
      <c r="C59" s="66">
        <v>12</v>
      </c>
      <c r="D59" s="109">
        <f>Ratings!B105</f>
        <v>121</v>
      </c>
      <c r="E59" s="13">
        <f>RANK(D59,$D$1:D162)</f>
        <v>59</v>
      </c>
    </row>
    <row r="60" spans="1:5" ht="15.75" x14ac:dyDescent="0.25">
      <c r="A60" s="14" t="s">
        <v>56</v>
      </c>
      <c r="B60" s="65">
        <v>268</v>
      </c>
      <c r="C60" s="66">
        <v>9</v>
      </c>
      <c r="D60" s="115">
        <f>Ratings!B76</f>
        <v>121</v>
      </c>
      <c r="E60" s="13">
        <f>RANK(D60,$D$1:D163)</f>
        <v>59</v>
      </c>
    </row>
    <row r="61" spans="1:5" ht="15.75" x14ac:dyDescent="0.25">
      <c r="A61" s="14" t="s">
        <v>46</v>
      </c>
      <c r="B61" s="65">
        <v>20</v>
      </c>
      <c r="C61" s="66">
        <v>11</v>
      </c>
      <c r="D61" s="109">
        <f>Ratings!B88</f>
        <v>120</v>
      </c>
      <c r="E61" s="13">
        <f>RANK(D61,$D$1:D164)</f>
        <v>61</v>
      </c>
    </row>
    <row r="62" spans="1:5" ht="15.75" x14ac:dyDescent="0.25">
      <c r="A62" s="14" t="s">
        <v>49</v>
      </c>
      <c r="B62" s="65">
        <v>1565</v>
      </c>
      <c r="C62" s="66">
        <v>9</v>
      </c>
      <c r="D62" s="104">
        <f>Ratings!B83</f>
        <v>119</v>
      </c>
      <c r="E62" s="13">
        <f>RANK(D62,$D$1:D165)</f>
        <v>62</v>
      </c>
    </row>
    <row r="63" spans="1:5" ht="15.75" x14ac:dyDescent="0.25">
      <c r="A63" s="14" t="s">
        <v>32</v>
      </c>
      <c r="B63" s="65">
        <v>609</v>
      </c>
      <c r="C63" s="66">
        <v>12</v>
      </c>
      <c r="D63" s="109">
        <f>Ratings!B104</f>
        <v>119</v>
      </c>
      <c r="E63" s="13">
        <f>RANK(D63,$D$1:D166)</f>
        <v>62</v>
      </c>
    </row>
    <row r="64" spans="1:5" ht="15.75" x14ac:dyDescent="0.25">
      <c r="A64" s="14" t="s">
        <v>104</v>
      </c>
      <c r="B64" s="65">
        <v>131</v>
      </c>
      <c r="C64" s="66">
        <v>3</v>
      </c>
      <c r="D64" s="115">
        <f>Ratings!B17</f>
        <v>119</v>
      </c>
      <c r="E64" s="13">
        <f>RANK(D64,$D$1:D167)</f>
        <v>62</v>
      </c>
    </row>
    <row r="65" spans="1:5" ht="15.75" x14ac:dyDescent="0.25">
      <c r="A65" s="14" t="s">
        <v>25</v>
      </c>
      <c r="B65" s="65">
        <v>207</v>
      </c>
      <c r="C65" s="66">
        <v>13</v>
      </c>
      <c r="D65" s="115">
        <f>Ratings!B113</f>
        <v>118</v>
      </c>
      <c r="E65" s="13">
        <f>RANK(D65,$D$1:D168)</f>
        <v>65</v>
      </c>
    </row>
    <row r="66" spans="1:5" ht="15.75" x14ac:dyDescent="0.25">
      <c r="A66" s="14" t="s">
        <v>33</v>
      </c>
      <c r="B66" s="65">
        <v>298</v>
      </c>
      <c r="C66" s="66">
        <v>12</v>
      </c>
      <c r="D66" s="109">
        <f>Ratings!B103</f>
        <v>118</v>
      </c>
      <c r="E66" s="13">
        <f>RANK(D66,$D$1:D169)</f>
        <v>65</v>
      </c>
    </row>
    <row r="67" spans="1:5" ht="15.75" x14ac:dyDescent="0.25">
      <c r="A67" s="14" t="s">
        <v>110</v>
      </c>
      <c r="B67" s="65">
        <v>1375</v>
      </c>
      <c r="C67" s="66">
        <v>1</v>
      </c>
      <c r="D67" s="109">
        <f>Ratings!B9</f>
        <v>118</v>
      </c>
      <c r="E67" s="13">
        <f>RANK(D67,$D$1:D170)</f>
        <v>65</v>
      </c>
    </row>
    <row r="68" spans="1:5" ht="15.75" x14ac:dyDescent="0.25">
      <c r="A68" s="14" t="s">
        <v>41</v>
      </c>
      <c r="B68" s="65">
        <v>461</v>
      </c>
      <c r="C68" s="66">
        <v>11</v>
      </c>
      <c r="D68" s="109">
        <f>Ratings!B93</f>
        <v>117</v>
      </c>
      <c r="E68" s="13">
        <f>RANK(D68,$D$1:D171)</f>
        <v>68</v>
      </c>
    </row>
    <row r="69" spans="1:5" ht="15.75" x14ac:dyDescent="0.25">
      <c r="A69" s="14" t="s">
        <v>286</v>
      </c>
      <c r="B69" s="65">
        <v>279</v>
      </c>
      <c r="C69" s="66">
        <v>1</v>
      </c>
      <c r="D69" s="105">
        <f>Ratings!B4</f>
        <v>116</v>
      </c>
      <c r="E69" s="13">
        <f>RANK(D69,$D$1:D172)</f>
        <v>69</v>
      </c>
    </row>
    <row r="70" spans="1:5" ht="15.75" x14ac:dyDescent="0.25">
      <c r="A70" s="14" t="s">
        <v>80</v>
      </c>
      <c r="B70" s="65">
        <v>1603</v>
      </c>
      <c r="C70" s="66">
        <v>5</v>
      </c>
      <c r="D70" s="109">
        <f>Ratings!B46</f>
        <v>115</v>
      </c>
      <c r="E70" s="13">
        <f>RANK(D70,$D$1:D173)</f>
        <v>70</v>
      </c>
    </row>
    <row r="71" spans="1:5" ht="15.75" x14ac:dyDescent="0.25">
      <c r="A71" s="14" t="s">
        <v>42</v>
      </c>
      <c r="B71" s="65">
        <v>209</v>
      </c>
      <c r="C71" s="66">
        <v>11</v>
      </c>
      <c r="D71" s="104">
        <f>Ratings!B92</f>
        <v>115</v>
      </c>
      <c r="E71" s="13">
        <f>RANK(D71,$D$1:D174)</f>
        <v>70</v>
      </c>
    </row>
    <row r="72" spans="1:5" ht="15.75" x14ac:dyDescent="0.25">
      <c r="A72" s="14" t="s">
        <v>108</v>
      </c>
      <c r="B72" s="65">
        <v>2189</v>
      </c>
      <c r="C72" s="66">
        <v>1</v>
      </c>
      <c r="D72" s="105">
        <f>Ratings!B11</f>
        <v>113</v>
      </c>
      <c r="E72" s="13">
        <f>RANK(D72,$D$1:D175)</f>
        <v>72</v>
      </c>
    </row>
    <row r="73" spans="1:5" ht="15.75" x14ac:dyDescent="0.25">
      <c r="A73" s="14" t="s">
        <v>15</v>
      </c>
      <c r="B73" s="65">
        <v>962</v>
      </c>
      <c r="C73" s="66">
        <v>14</v>
      </c>
      <c r="D73" s="109">
        <f>Ratings!B125</f>
        <v>112</v>
      </c>
      <c r="E73" s="13">
        <f>RANK(D73,$D$1:D176)</f>
        <v>73</v>
      </c>
    </row>
    <row r="74" spans="1:5" ht="15.75" x14ac:dyDescent="0.25">
      <c r="A74" s="14" t="s">
        <v>29</v>
      </c>
      <c r="B74" s="65">
        <v>37</v>
      </c>
      <c r="C74" s="66">
        <v>13</v>
      </c>
      <c r="D74" s="109">
        <f>Ratings!B109</f>
        <v>110</v>
      </c>
      <c r="E74" s="13">
        <f>RANK(D74,$D$1:D177)</f>
        <v>74</v>
      </c>
    </row>
    <row r="75" spans="1:5" ht="15.75" x14ac:dyDescent="0.25">
      <c r="A75" s="19" t="s">
        <v>17</v>
      </c>
      <c r="B75" s="68">
        <v>137</v>
      </c>
      <c r="C75" s="69">
        <v>14</v>
      </c>
      <c r="D75" s="104">
        <f>Ratings!B123</f>
        <v>110</v>
      </c>
      <c r="E75" s="13">
        <f>RANK(D75,$D$1:D178)</f>
        <v>74</v>
      </c>
    </row>
    <row r="76" spans="1:5" ht="15.75" x14ac:dyDescent="0.25">
      <c r="A76" s="14" t="s">
        <v>95</v>
      </c>
      <c r="B76" s="65">
        <v>794</v>
      </c>
      <c r="C76" s="66">
        <v>4</v>
      </c>
      <c r="D76" s="105">
        <f>Ratings!B29</f>
        <v>108</v>
      </c>
      <c r="E76" s="13">
        <f>RANK(D76,$D$1:D179)</f>
        <v>76</v>
      </c>
    </row>
    <row r="77" spans="1:5" ht="15.75" x14ac:dyDescent="0.25">
      <c r="A77" s="14" t="s">
        <v>35</v>
      </c>
      <c r="B77" s="65">
        <v>236</v>
      </c>
      <c r="C77" s="66">
        <v>12</v>
      </c>
      <c r="D77" s="105">
        <f>Ratings!B101</f>
        <v>108</v>
      </c>
      <c r="E77" s="13">
        <f>RANK(D77,$D$1:D180)</f>
        <v>76</v>
      </c>
    </row>
    <row r="78" spans="1:5" ht="15.75" x14ac:dyDescent="0.25">
      <c r="A78" s="14" t="s">
        <v>105</v>
      </c>
      <c r="B78" s="65">
        <v>76</v>
      </c>
      <c r="C78" s="66">
        <v>3</v>
      </c>
      <c r="D78" s="105">
        <f>Ratings!B16</f>
        <v>108</v>
      </c>
      <c r="E78" s="13">
        <f>RANK(D78,$D$1:D181)</f>
        <v>76</v>
      </c>
    </row>
    <row r="79" spans="1:5" ht="15.75" x14ac:dyDescent="0.25">
      <c r="A79" s="14" t="s">
        <v>99</v>
      </c>
      <c r="B79" s="65">
        <v>681</v>
      </c>
      <c r="C79" s="66">
        <v>3</v>
      </c>
      <c r="D79" s="105">
        <f>Ratings!B23</f>
        <v>107</v>
      </c>
      <c r="E79" s="13">
        <f>RANK(D79,$D$1:D182)</f>
        <v>79</v>
      </c>
    </row>
    <row r="80" spans="1:5" ht="15.75" x14ac:dyDescent="0.25">
      <c r="A80" s="14" t="s">
        <v>8</v>
      </c>
      <c r="B80" s="65">
        <v>109</v>
      </c>
      <c r="C80" s="66">
        <v>15</v>
      </c>
      <c r="D80" s="105">
        <f>Ratings!B134</f>
        <v>104</v>
      </c>
      <c r="E80" s="13">
        <f>RANK(D80,$D$1:D183)</f>
        <v>80</v>
      </c>
    </row>
    <row r="81" spans="1:5" ht="15.75" x14ac:dyDescent="0.25">
      <c r="A81" s="14" t="s">
        <v>97</v>
      </c>
      <c r="B81" s="65">
        <v>171</v>
      </c>
      <c r="C81" s="66">
        <v>4</v>
      </c>
      <c r="D81" s="109">
        <f>Ratings!B27</f>
        <v>103</v>
      </c>
      <c r="E81" s="13">
        <f>RANK(D81,$D$1:D184)</f>
        <v>81</v>
      </c>
    </row>
    <row r="82" spans="1:5" ht="15.75" x14ac:dyDescent="0.25">
      <c r="A82" s="14" t="s">
        <v>103</v>
      </c>
      <c r="B82" s="65">
        <v>185</v>
      </c>
      <c r="C82" s="66">
        <v>3</v>
      </c>
      <c r="D82" s="115">
        <f>Ratings!B18</f>
        <v>103</v>
      </c>
      <c r="E82" s="13">
        <f>RANK(D82,$D$1:D185)</f>
        <v>81</v>
      </c>
    </row>
    <row r="83" spans="1:5" ht="15.75" x14ac:dyDescent="0.25">
      <c r="A83" s="14" t="s">
        <v>16</v>
      </c>
      <c r="B83" s="65">
        <v>366</v>
      </c>
      <c r="C83" s="66">
        <v>14</v>
      </c>
      <c r="D83" s="109">
        <f>Ratings!B124</f>
        <v>101</v>
      </c>
      <c r="E83" s="13">
        <f>RANK(D83,$D$1:D186)</f>
        <v>83</v>
      </c>
    </row>
    <row r="84" spans="1:5" ht="15.75" x14ac:dyDescent="0.25">
      <c r="A84" s="14" t="s">
        <v>60</v>
      </c>
      <c r="B84" s="65">
        <v>97</v>
      </c>
      <c r="C84" s="66">
        <v>9</v>
      </c>
      <c r="D84" s="109">
        <f>Ratings!B72</f>
        <v>101</v>
      </c>
      <c r="E84" s="13">
        <f>RANK(D84,$D$1:D187)</f>
        <v>83</v>
      </c>
    </row>
    <row r="85" spans="1:5" ht="15.75" x14ac:dyDescent="0.25">
      <c r="A85" s="14" t="s">
        <v>71</v>
      </c>
      <c r="B85" s="65">
        <v>1790</v>
      </c>
      <c r="C85" s="66">
        <v>6</v>
      </c>
      <c r="D85" s="105">
        <f>Ratings!B57</f>
        <v>100</v>
      </c>
      <c r="E85" s="13">
        <f>RANK(D85,$D$1:D188)</f>
        <v>85</v>
      </c>
    </row>
    <row r="86" spans="1:5" ht="15.75" x14ac:dyDescent="0.25">
      <c r="A86" s="14" t="s">
        <v>59</v>
      </c>
      <c r="B86" s="65">
        <v>146</v>
      </c>
      <c r="C86" s="66">
        <v>9</v>
      </c>
      <c r="D86" s="105">
        <f>Ratings!B73</f>
        <v>100</v>
      </c>
      <c r="E86" s="13">
        <f>RANK(D86,$D$1:D189)</f>
        <v>85</v>
      </c>
    </row>
    <row r="87" spans="1:5" ht="15.75" x14ac:dyDescent="0.25">
      <c r="A87" s="14" t="s">
        <v>13</v>
      </c>
      <c r="B87" s="65">
        <v>66</v>
      </c>
      <c r="C87" s="66">
        <v>15</v>
      </c>
      <c r="D87" s="105">
        <f>Ratings!B129</f>
        <v>99</v>
      </c>
      <c r="E87" s="13">
        <f>RANK(D87,$D$1:D190)</f>
        <v>87</v>
      </c>
    </row>
    <row r="88" spans="1:5" ht="15.75" x14ac:dyDescent="0.25">
      <c r="A88" s="14" t="s">
        <v>78</v>
      </c>
      <c r="B88" s="65">
        <v>107</v>
      </c>
      <c r="C88" s="66">
        <v>6</v>
      </c>
      <c r="D88" s="109">
        <f>Ratings!B50</f>
        <v>97</v>
      </c>
      <c r="E88" s="13">
        <f>RANK(D88,$D$1:D191)</f>
        <v>88</v>
      </c>
    </row>
    <row r="89" spans="1:5" ht="15.75" x14ac:dyDescent="0.25">
      <c r="A89" s="14" t="s">
        <v>23</v>
      </c>
      <c r="B89" s="65">
        <v>954</v>
      </c>
      <c r="C89" s="66">
        <v>13</v>
      </c>
      <c r="D89" s="105">
        <f>Ratings!B115</f>
        <v>96</v>
      </c>
      <c r="E89" s="13">
        <f>RANK(D89,$D$1:D193)</f>
        <v>89</v>
      </c>
    </row>
    <row r="90" spans="1:5" ht="15.75" x14ac:dyDescent="0.25">
      <c r="A90" s="14" t="s">
        <v>21</v>
      </c>
      <c r="B90" s="65">
        <v>51</v>
      </c>
      <c r="C90" s="66">
        <v>14</v>
      </c>
      <c r="D90" s="115">
        <f>Ratings!B119</f>
        <v>92</v>
      </c>
      <c r="E90" s="13">
        <f>RANK(D90,$D$1:D194)</f>
        <v>90</v>
      </c>
    </row>
    <row r="91" spans="1:5" ht="15.75" x14ac:dyDescent="0.25">
      <c r="A91" s="14" t="s">
        <v>20</v>
      </c>
      <c r="B91" s="65">
        <v>64</v>
      </c>
      <c r="C91" s="66">
        <v>14</v>
      </c>
      <c r="D91" s="109">
        <f>Ratings!B120</f>
        <v>89</v>
      </c>
      <c r="E91" s="13">
        <f>RANK(D91,$D$1:D195)</f>
        <v>91</v>
      </c>
    </row>
    <row r="92" spans="1:5" ht="15.75" x14ac:dyDescent="0.25">
      <c r="A92" s="14" t="s">
        <v>82</v>
      </c>
      <c r="B92" s="65">
        <v>523</v>
      </c>
      <c r="C92" s="66">
        <v>5</v>
      </c>
      <c r="D92" s="109">
        <f>Ratings!B44</f>
        <v>88</v>
      </c>
      <c r="E92" s="13">
        <f>RANK(D92,$D$1:D196)</f>
        <v>92</v>
      </c>
    </row>
    <row r="93" spans="1:5" ht="15.75" x14ac:dyDescent="0.25">
      <c r="A93" s="14" t="s">
        <v>19</v>
      </c>
      <c r="B93" s="65">
        <v>93</v>
      </c>
      <c r="C93" s="66">
        <v>14</v>
      </c>
      <c r="D93" s="105">
        <f>Ratings!B121</f>
        <v>83</v>
      </c>
      <c r="E93" s="13">
        <f>RANK(D93,$D$1:D197)</f>
        <v>93</v>
      </c>
    </row>
    <row r="94" spans="1:5" ht="15.75" x14ac:dyDescent="0.25">
      <c r="A94" s="14" t="s">
        <v>39</v>
      </c>
      <c r="B94" s="65">
        <v>1625</v>
      </c>
      <c r="C94" s="66">
        <v>11</v>
      </c>
      <c r="D94" s="105">
        <f>Ratings!B95</f>
        <v>82</v>
      </c>
      <c r="E94" s="13">
        <f>RANK(D94,$D$1:D198)</f>
        <v>94</v>
      </c>
    </row>
    <row r="95" spans="1:5" ht="15.75" x14ac:dyDescent="0.25">
      <c r="A95" s="14" t="s">
        <v>58</v>
      </c>
      <c r="B95" s="65">
        <v>154</v>
      </c>
      <c r="C95" s="66">
        <v>9</v>
      </c>
      <c r="D95" s="105">
        <f>Ratings!B74</f>
        <v>77</v>
      </c>
      <c r="E95" s="13">
        <f>RANK(D95,$D$1:D199)</f>
        <v>95</v>
      </c>
    </row>
    <row r="96" spans="1:5" ht="15.75" x14ac:dyDescent="0.25">
      <c r="A96" s="14" t="s">
        <v>51</v>
      </c>
      <c r="B96" s="65">
        <v>1172</v>
      </c>
      <c r="C96" s="66">
        <v>9</v>
      </c>
      <c r="D96" s="105">
        <f>Ratings!B89</f>
        <v>76</v>
      </c>
      <c r="E96" s="13">
        <f>RANK(D96,$D$1:D200)</f>
        <v>96</v>
      </c>
    </row>
    <row r="97" spans="1:5" ht="15.75" x14ac:dyDescent="0.25">
      <c r="A97" s="14" t="s">
        <v>45</v>
      </c>
      <c r="B97" s="65">
        <v>31</v>
      </c>
      <c r="C97" s="66">
        <v>11</v>
      </c>
      <c r="D97" s="105">
        <f>Ratings!B89</f>
        <v>76</v>
      </c>
      <c r="E97" s="13">
        <f>RANK(D97,$D$1:D201)</f>
        <v>96</v>
      </c>
    </row>
    <row r="98" spans="1:5" ht="15.75" x14ac:dyDescent="0.25">
      <c r="A98" s="14" t="s">
        <v>54</v>
      </c>
      <c r="B98" s="65">
        <v>350</v>
      </c>
      <c r="C98" s="66">
        <v>9</v>
      </c>
      <c r="D98" s="105">
        <f>Ratings!B78</f>
        <v>75</v>
      </c>
      <c r="E98" s="13">
        <f>RANK(D98,$D$1:D202)</f>
        <v>98</v>
      </c>
    </row>
    <row r="99" spans="1:5" ht="15.75" x14ac:dyDescent="0.25">
      <c r="A99" s="14" t="s">
        <v>85</v>
      </c>
      <c r="B99" s="65">
        <v>299</v>
      </c>
      <c r="C99" s="66">
        <v>5</v>
      </c>
      <c r="D99" s="115">
        <f>Ratings!B41</f>
        <v>74</v>
      </c>
      <c r="E99" s="13">
        <f>RANK(D99,$D$1:D203)</f>
        <v>99</v>
      </c>
    </row>
    <row r="100" spans="1:5" ht="15.75" x14ac:dyDescent="0.25">
      <c r="A100" s="14" t="s">
        <v>111</v>
      </c>
      <c r="B100" s="65">
        <v>1169</v>
      </c>
      <c r="C100" s="66">
        <v>1</v>
      </c>
      <c r="D100" s="105">
        <f>Ratings!B8</f>
        <v>71</v>
      </c>
      <c r="E100" s="13">
        <f>RANK(D100,$D$1:D204)</f>
        <v>100</v>
      </c>
    </row>
    <row r="101" spans="1:5" ht="15.75" x14ac:dyDescent="0.25">
      <c r="A101" s="14" t="s">
        <v>4</v>
      </c>
      <c r="B101" s="65">
        <v>882</v>
      </c>
      <c r="C101" s="66">
        <v>15</v>
      </c>
      <c r="D101" s="105">
        <f>Ratings!B138</f>
        <v>69</v>
      </c>
      <c r="E101" s="13">
        <f>RANK(D101,$D$1:D205)</f>
        <v>101</v>
      </c>
    </row>
    <row r="102" spans="1:5" ht="15.75" x14ac:dyDescent="0.25">
      <c r="A102" s="14" t="s">
        <v>37</v>
      </c>
      <c r="B102" s="65">
        <v>86</v>
      </c>
      <c r="C102" s="66">
        <v>12</v>
      </c>
      <c r="D102" s="105">
        <f>Ratings!B99</f>
        <v>65</v>
      </c>
      <c r="E102" s="13">
        <f>RANK(D102,$D$1:D206)</f>
        <v>102</v>
      </c>
    </row>
    <row r="103" spans="1:5" ht="15.75" x14ac:dyDescent="0.25">
      <c r="A103" s="14" t="s">
        <v>100</v>
      </c>
      <c r="B103" s="65">
        <v>488</v>
      </c>
      <c r="C103" s="66">
        <v>3</v>
      </c>
      <c r="D103" s="105">
        <f>Ratings!B22</f>
        <v>63</v>
      </c>
      <c r="E103" s="13">
        <f>RANK(D103,$D$1:D207)</f>
        <v>103</v>
      </c>
    </row>
    <row r="104" spans="1:5" ht="15.75" x14ac:dyDescent="0.25">
      <c r="A104" s="14" t="s">
        <v>114</v>
      </c>
      <c r="B104" s="65">
        <v>908</v>
      </c>
      <c r="C104" s="66">
        <v>1</v>
      </c>
      <c r="D104" s="105">
        <f>Ratings!B5</f>
        <v>58</v>
      </c>
      <c r="E104" s="13">
        <f>RANK(D104,$D$1:D208)</f>
        <v>104</v>
      </c>
    </row>
  </sheetData>
  <sortState xmlns:xlrd2="http://schemas.microsoft.com/office/spreadsheetml/2017/richdata2" ref="A1:D104">
    <sortCondition descending="1" ref="D1:D104"/>
  </sortState>
  <mergeCells count="7">
    <mergeCell ref="G14:G15"/>
    <mergeCell ref="G1:G2"/>
    <mergeCell ref="G4:G5"/>
    <mergeCell ref="G6:G7"/>
    <mergeCell ref="G8:G9"/>
    <mergeCell ref="G10:G11"/>
    <mergeCell ref="G12:G13"/>
  </mergeCells>
  <conditionalFormatting sqref="D1:D104">
    <cfRule type="cellIs" dxfId="45" priority="1" operator="lessThanOrEqual">
      <formula>$G$14</formula>
    </cfRule>
    <cfRule type="cellIs" dxfId="44" priority="2" operator="lessThanOrEqual">
      <formula>$G$10</formula>
    </cfRule>
    <cfRule type="cellIs" dxfId="43" priority="3" operator="greaterThan">
      <formula>$G$10</formula>
    </cfRule>
  </conditionalFormatting>
  <pageMargins left="0.25" right="0" top="0.5" bottom="0.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3602C-BDDE-4FD1-9D5D-658726AD5D1A}">
  <sheetPr>
    <tabColor rgb="FF00B0F0"/>
  </sheetPr>
  <dimension ref="A1:G106"/>
  <sheetViews>
    <sheetView zoomScaleNormal="100" workbookViewId="0">
      <selection sqref="A1:E104"/>
    </sheetView>
  </sheetViews>
  <sheetFormatPr defaultRowHeight="15" x14ac:dyDescent="0.25"/>
  <cols>
    <col min="1" max="1" width="25" customWidth="1"/>
    <col min="4" max="4" width="8.85546875" style="70"/>
    <col min="7" max="7" width="27.5703125" bestFit="1" customWidth="1"/>
  </cols>
  <sheetData>
    <row r="1" spans="1:7" ht="15.6" customHeight="1" x14ac:dyDescent="0.25">
      <c r="A1" s="14" t="s">
        <v>286</v>
      </c>
      <c r="B1" s="65">
        <v>279</v>
      </c>
      <c r="C1" s="66">
        <v>1</v>
      </c>
      <c r="D1" s="115">
        <v>116</v>
      </c>
      <c r="E1" s="13">
        <v>69</v>
      </c>
      <c r="G1" s="431">
        <v>44418</v>
      </c>
    </row>
    <row r="2" spans="1:7" ht="15.95" customHeight="1" thickBot="1" x14ac:dyDescent="0.3">
      <c r="A2" s="14" t="s">
        <v>114</v>
      </c>
      <c r="B2" s="65">
        <v>908</v>
      </c>
      <c r="C2" s="66">
        <v>1</v>
      </c>
      <c r="D2" s="104">
        <v>58</v>
      </c>
      <c r="E2" s="13">
        <v>104</v>
      </c>
      <c r="G2" s="438"/>
    </row>
    <row r="3" spans="1:7" ht="16.5" thickBot="1" x14ac:dyDescent="0.3">
      <c r="A3" s="14" t="s">
        <v>113</v>
      </c>
      <c r="B3" s="65">
        <v>1101</v>
      </c>
      <c r="C3" s="66">
        <v>1</v>
      </c>
      <c r="D3" s="104">
        <v>143</v>
      </c>
      <c r="E3" s="13">
        <v>29</v>
      </c>
      <c r="G3" s="67" t="s">
        <v>0</v>
      </c>
    </row>
    <row r="4" spans="1:7" ht="15.6" customHeight="1" x14ac:dyDescent="0.25">
      <c r="A4" s="14" t="s">
        <v>112</v>
      </c>
      <c r="B4" s="65">
        <v>1153</v>
      </c>
      <c r="C4" s="66">
        <v>1</v>
      </c>
      <c r="D4" s="109">
        <v>128</v>
      </c>
      <c r="E4" s="13">
        <v>49</v>
      </c>
      <c r="G4" s="439" t="s">
        <v>521</v>
      </c>
    </row>
    <row r="5" spans="1:7" ht="16.5" thickBot="1" x14ac:dyDescent="0.3">
      <c r="A5" s="14" t="s">
        <v>111</v>
      </c>
      <c r="B5" s="65">
        <v>1169</v>
      </c>
      <c r="C5" s="66">
        <v>1</v>
      </c>
      <c r="D5" s="109">
        <v>71</v>
      </c>
      <c r="E5" s="13">
        <v>100</v>
      </c>
      <c r="G5" s="440"/>
    </row>
    <row r="6" spans="1:7" ht="15.6" customHeight="1" x14ac:dyDescent="0.25">
      <c r="A6" s="14" t="s">
        <v>110</v>
      </c>
      <c r="B6" s="65">
        <v>1375</v>
      </c>
      <c r="C6" s="66">
        <v>1</v>
      </c>
      <c r="D6" s="109">
        <v>118</v>
      </c>
      <c r="E6" s="13">
        <v>65</v>
      </c>
      <c r="G6" s="429">
        <f>Ranking!G6</f>
        <v>130.9</v>
      </c>
    </row>
    <row r="7" spans="1:7" ht="15.95" customHeight="1" thickBot="1" x14ac:dyDescent="0.3">
      <c r="A7" s="14" t="s">
        <v>109</v>
      </c>
      <c r="B7" s="65">
        <v>1539</v>
      </c>
      <c r="C7" s="66">
        <v>1</v>
      </c>
      <c r="D7" s="104">
        <v>134</v>
      </c>
      <c r="E7" s="13">
        <v>40</v>
      </c>
      <c r="G7" s="433"/>
    </row>
    <row r="8" spans="1:7" ht="15.6" customHeight="1" x14ac:dyDescent="0.25">
      <c r="A8" s="14" t="s">
        <v>108</v>
      </c>
      <c r="B8" s="65">
        <v>2189</v>
      </c>
      <c r="C8" s="66">
        <v>1</v>
      </c>
      <c r="D8" s="104">
        <v>113</v>
      </c>
      <c r="E8" s="13">
        <v>72</v>
      </c>
      <c r="G8" s="434" t="s">
        <v>548</v>
      </c>
    </row>
    <row r="9" spans="1:7" ht="16.5" thickBot="1" x14ac:dyDescent="0.3">
      <c r="A9" s="14" t="s">
        <v>106</v>
      </c>
      <c r="B9" s="65">
        <v>74</v>
      </c>
      <c r="C9" s="66">
        <v>3</v>
      </c>
      <c r="D9" s="104">
        <v>157</v>
      </c>
      <c r="E9" s="13">
        <v>14</v>
      </c>
      <c r="G9" s="434"/>
    </row>
    <row r="10" spans="1:7" ht="15.6" customHeight="1" x14ac:dyDescent="0.25">
      <c r="A10" s="14" t="s">
        <v>105</v>
      </c>
      <c r="B10" s="65">
        <v>76</v>
      </c>
      <c r="C10" s="66">
        <v>3</v>
      </c>
      <c r="D10" s="105">
        <v>108</v>
      </c>
      <c r="E10" s="13">
        <v>76</v>
      </c>
      <c r="G10" s="435">
        <f>Ranking!G10</f>
        <v>130</v>
      </c>
    </row>
    <row r="11" spans="1:7" ht="15.95" customHeight="1" thickBot="1" x14ac:dyDescent="0.3">
      <c r="A11" s="14" t="s">
        <v>104</v>
      </c>
      <c r="B11" s="65">
        <v>131</v>
      </c>
      <c r="C11" s="66">
        <v>3</v>
      </c>
      <c r="D11" s="105">
        <v>119</v>
      </c>
      <c r="E11" s="13">
        <v>62</v>
      </c>
      <c r="G11" s="436"/>
    </row>
    <row r="12" spans="1:7" ht="15.6" customHeight="1" x14ac:dyDescent="0.25">
      <c r="A12" s="14" t="s">
        <v>103</v>
      </c>
      <c r="B12" s="65">
        <v>185</v>
      </c>
      <c r="C12" s="66">
        <v>3</v>
      </c>
      <c r="D12" s="104">
        <v>103</v>
      </c>
      <c r="E12" s="13">
        <v>81</v>
      </c>
      <c r="G12" s="437" t="s">
        <v>520</v>
      </c>
    </row>
    <row r="13" spans="1:7" ht="16.5" thickBot="1" x14ac:dyDescent="0.3">
      <c r="A13" s="14" t="s">
        <v>102</v>
      </c>
      <c r="B13" s="65">
        <v>223</v>
      </c>
      <c r="C13" s="66">
        <v>3</v>
      </c>
      <c r="D13" s="104">
        <v>149</v>
      </c>
      <c r="E13" s="13">
        <v>23</v>
      </c>
      <c r="G13" s="437"/>
    </row>
    <row r="14" spans="1:7" ht="15.6" customHeight="1" x14ac:dyDescent="0.25">
      <c r="A14" s="14" t="s">
        <v>284</v>
      </c>
      <c r="B14" s="65">
        <v>349</v>
      </c>
      <c r="C14" s="66">
        <v>3</v>
      </c>
      <c r="D14" s="104">
        <v>153</v>
      </c>
      <c r="E14" s="13">
        <v>17</v>
      </c>
      <c r="G14" s="429">
        <f>Ranking!G14</f>
        <v>94</v>
      </c>
    </row>
    <row r="15" spans="1:7" ht="15.95" customHeight="1" thickBot="1" x14ac:dyDescent="0.3">
      <c r="A15" s="14" t="s">
        <v>101</v>
      </c>
      <c r="B15" s="65">
        <v>480</v>
      </c>
      <c r="C15" s="66">
        <v>3</v>
      </c>
      <c r="D15" s="115">
        <v>133</v>
      </c>
      <c r="E15" s="13">
        <v>42</v>
      </c>
      <c r="G15" s="430"/>
    </row>
    <row r="16" spans="1:7" ht="15.75" x14ac:dyDescent="0.25">
      <c r="A16" s="14" t="s">
        <v>100</v>
      </c>
      <c r="B16" s="65">
        <v>488</v>
      </c>
      <c r="C16" s="66">
        <v>3</v>
      </c>
      <c r="D16" s="105">
        <v>63</v>
      </c>
      <c r="E16" s="13">
        <v>103</v>
      </c>
    </row>
    <row r="17" spans="1:5" ht="15.75" x14ac:dyDescent="0.25">
      <c r="A17" s="14" t="s">
        <v>99</v>
      </c>
      <c r="B17" s="65">
        <v>681</v>
      </c>
      <c r="C17" s="66">
        <v>3</v>
      </c>
      <c r="D17" s="104">
        <v>107</v>
      </c>
      <c r="E17" s="13">
        <v>79</v>
      </c>
    </row>
    <row r="18" spans="1:5" ht="15.75" x14ac:dyDescent="0.25">
      <c r="A18" s="14" t="s">
        <v>97</v>
      </c>
      <c r="B18" s="65">
        <v>171</v>
      </c>
      <c r="C18" s="66">
        <v>4</v>
      </c>
      <c r="D18" s="104">
        <v>103</v>
      </c>
      <c r="E18" s="13">
        <v>81</v>
      </c>
    </row>
    <row r="19" spans="1:5" ht="15.75" x14ac:dyDescent="0.25">
      <c r="A19" s="14" t="s">
        <v>96</v>
      </c>
      <c r="B19" s="65">
        <v>181</v>
      </c>
      <c r="C19" s="66">
        <v>4</v>
      </c>
      <c r="D19" s="109">
        <v>164</v>
      </c>
      <c r="E19" s="13">
        <v>7</v>
      </c>
    </row>
    <row r="20" spans="1:5" ht="15.75" x14ac:dyDescent="0.25">
      <c r="A20" s="14" t="s">
        <v>95</v>
      </c>
      <c r="B20" s="65">
        <v>794</v>
      </c>
      <c r="C20" s="66">
        <v>4</v>
      </c>
      <c r="D20" s="104">
        <v>108</v>
      </c>
      <c r="E20" s="13">
        <v>76</v>
      </c>
    </row>
    <row r="21" spans="1:5" ht="15.75" x14ac:dyDescent="0.25">
      <c r="A21" s="14" t="s">
        <v>285</v>
      </c>
      <c r="B21" s="65">
        <v>866</v>
      </c>
      <c r="C21" s="66">
        <v>4</v>
      </c>
      <c r="D21" s="109">
        <v>152</v>
      </c>
      <c r="E21" s="13">
        <v>20</v>
      </c>
    </row>
    <row r="22" spans="1:5" ht="15.75" x14ac:dyDescent="0.25">
      <c r="A22" s="14" t="s">
        <v>93</v>
      </c>
      <c r="B22" s="65">
        <v>1133</v>
      </c>
      <c r="C22" s="66">
        <v>4</v>
      </c>
      <c r="D22" s="104">
        <v>150</v>
      </c>
      <c r="E22" s="13">
        <v>22</v>
      </c>
    </row>
    <row r="23" spans="1:5" ht="15.75" x14ac:dyDescent="0.25">
      <c r="A23" s="14" t="s">
        <v>92</v>
      </c>
      <c r="B23" s="65">
        <v>1173</v>
      </c>
      <c r="C23" s="66">
        <v>4</v>
      </c>
      <c r="D23" s="109">
        <v>144</v>
      </c>
      <c r="E23" s="13">
        <v>28</v>
      </c>
    </row>
    <row r="24" spans="1:5" ht="15.75" x14ac:dyDescent="0.25">
      <c r="A24" s="14" t="s">
        <v>91</v>
      </c>
      <c r="B24" s="65">
        <v>1207</v>
      </c>
      <c r="C24" s="66">
        <v>4</v>
      </c>
      <c r="D24" s="104">
        <v>125</v>
      </c>
      <c r="E24" s="13">
        <v>54</v>
      </c>
    </row>
    <row r="25" spans="1:5" ht="15.75" x14ac:dyDescent="0.25">
      <c r="A25" s="14" t="s">
        <v>90</v>
      </c>
      <c r="B25" s="65">
        <v>1229</v>
      </c>
      <c r="C25" s="66">
        <v>4</v>
      </c>
      <c r="D25" s="109">
        <v>135</v>
      </c>
      <c r="E25" s="13">
        <v>37</v>
      </c>
    </row>
    <row r="26" spans="1:5" ht="15.75" x14ac:dyDescent="0.25">
      <c r="A26" s="14" t="s">
        <v>89</v>
      </c>
      <c r="B26" s="65">
        <v>1276</v>
      </c>
      <c r="C26" s="66">
        <v>4</v>
      </c>
      <c r="D26" s="104">
        <v>122</v>
      </c>
      <c r="E26" s="13">
        <v>58</v>
      </c>
    </row>
    <row r="27" spans="1:5" ht="15.75" x14ac:dyDescent="0.25">
      <c r="A27" s="14" t="s">
        <v>88</v>
      </c>
      <c r="B27" s="65">
        <v>1336</v>
      </c>
      <c r="C27" s="66">
        <v>4</v>
      </c>
      <c r="D27" s="104">
        <v>163</v>
      </c>
      <c r="E27" s="13">
        <v>8</v>
      </c>
    </row>
    <row r="28" spans="1:5" ht="15.75" x14ac:dyDescent="0.25">
      <c r="A28" s="14" t="s">
        <v>86</v>
      </c>
      <c r="B28" s="65">
        <v>59</v>
      </c>
      <c r="C28" s="66">
        <v>5</v>
      </c>
      <c r="D28" s="104">
        <v>133</v>
      </c>
      <c r="E28" s="13">
        <v>42</v>
      </c>
    </row>
    <row r="29" spans="1:5" ht="15.75" x14ac:dyDescent="0.25">
      <c r="A29" s="14" t="s">
        <v>85</v>
      </c>
      <c r="B29" s="65">
        <v>299</v>
      </c>
      <c r="C29" s="66">
        <v>5</v>
      </c>
      <c r="D29" s="104">
        <v>74</v>
      </c>
      <c r="E29" s="13">
        <v>99</v>
      </c>
    </row>
    <row r="30" spans="1:5" ht="15.75" x14ac:dyDescent="0.25">
      <c r="A30" s="14" t="s">
        <v>84</v>
      </c>
      <c r="B30" s="65">
        <v>307</v>
      </c>
      <c r="C30" s="66">
        <v>5</v>
      </c>
      <c r="D30" s="104">
        <v>159</v>
      </c>
      <c r="E30" s="13">
        <v>12</v>
      </c>
    </row>
    <row r="31" spans="1:5" ht="15.75" x14ac:dyDescent="0.25">
      <c r="A31" s="14" t="s">
        <v>83</v>
      </c>
      <c r="B31" s="65">
        <v>410</v>
      </c>
      <c r="C31" s="66">
        <v>5</v>
      </c>
      <c r="D31" s="104">
        <v>145</v>
      </c>
      <c r="E31" s="13">
        <v>26</v>
      </c>
    </row>
    <row r="32" spans="1:5" ht="15.75" x14ac:dyDescent="0.25">
      <c r="A32" s="14" t="s">
        <v>82</v>
      </c>
      <c r="B32" s="65">
        <v>523</v>
      </c>
      <c r="C32" s="66">
        <v>5</v>
      </c>
      <c r="D32" s="109">
        <v>88</v>
      </c>
      <c r="E32" s="13">
        <v>92</v>
      </c>
    </row>
    <row r="33" spans="1:5" ht="15.75" x14ac:dyDescent="0.25">
      <c r="A33" s="14" t="s">
        <v>81</v>
      </c>
      <c r="B33" s="65">
        <v>596</v>
      </c>
      <c r="C33" s="66">
        <v>5</v>
      </c>
      <c r="D33" s="104">
        <v>134</v>
      </c>
      <c r="E33" s="13">
        <v>40</v>
      </c>
    </row>
    <row r="34" spans="1:5" ht="15.75" x14ac:dyDescent="0.25">
      <c r="A34" s="14" t="s">
        <v>80</v>
      </c>
      <c r="B34" s="65">
        <v>1603</v>
      </c>
      <c r="C34" s="66">
        <v>5</v>
      </c>
      <c r="D34" s="105">
        <v>115</v>
      </c>
      <c r="E34" s="13">
        <v>70</v>
      </c>
    </row>
    <row r="35" spans="1:5" ht="15.75" x14ac:dyDescent="0.25">
      <c r="A35" s="14" t="s">
        <v>78</v>
      </c>
      <c r="B35" s="65">
        <v>107</v>
      </c>
      <c r="C35" s="66">
        <v>6</v>
      </c>
      <c r="D35" s="104">
        <v>97</v>
      </c>
      <c r="E35" s="13">
        <v>88</v>
      </c>
    </row>
    <row r="36" spans="1:5" ht="15.75" x14ac:dyDescent="0.25">
      <c r="A36" s="14" t="s">
        <v>77</v>
      </c>
      <c r="B36" s="65">
        <v>227</v>
      </c>
      <c r="C36" s="66">
        <v>6</v>
      </c>
      <c r="D36" s="104">
        <v>152</v>
      </c>
      <c r="E36" s="13">
        <v>20</v>
      </c>
    </row>
    <row r="37" spans="1:5" ht="15.75" x14ac:dyDescent="0.25">
      <c r="A37" s="14" t="s">
        <v>76</v>
      </c>
      <c r="B37" s="65">
        <v>720</v>
      </c>
      <c r="C37" s="66">
        <v>6</v>
      </c>
      <c r="D37" s="109">
        <v>156</v>
      </c>
      <c r="E37" s="13">
        <v>16</v>
      </c>
    </row>
    <row r="38" spans="1:5" ht="15.75" x14ac:dyDescent="0.25">
      <c r="A38" s="14" t="s">
        <v>75</v>
      </c>
      <c r="B38" s="65">
        <v>761</v>
      </c>
      <c r="C38" s="66">
        <v>6</v>
      </c>
      <c r="D38" s="109">
        <v>158</v>
      </c>
      <c r="E38" s="13">
        <v>13</v>
      </c>
    </row>
    <row r="39" spans="1:5" ht="15.75" x14ac:dyDescent="0.25">
      <c r="A39" s="14" t="s">
        <v>74</v>
      </c>
      <c r="B39" s="65">
        <v>925</v>
      </c>
      <c r="C39" s="66">
        <v>6</v>
      </c>
      <c r="D39" s="104">
        <v>162</v>
      </c>
      <c r="E39" s="13">
        <v>11</v>
      </c>
    </row>
    <row r="40" spans="1:5" ht="15.75" x14ac:dyDescent="0.25">
      <c r="A40" s="14" t="s">
        <v>73</v>
      </c>
      <c r="B40" s="65">
        <v>1191</v>
      </c>
      <c r="C40" s="66">
        <v>6</v>
      </c>
      <c r="D40" s="105">
        <v>130</v>
      </c>
      <c r="E40" s="13">
        <v>48</v>
      </c>
    </row>
    <row r="41" spans="1:5" ht="15.75" x14ac:dyDescent="0.25">
      <c r="A41" s="14" t="s">
        <v>72</v>
      </c>
      <c r="B41" s="65">
        <v>1526</v>
      </c>
      <c r="C41" s="66">
        <v>6</v>
      </c>
      <c r="D41" s="109">
        <v>138</v>
      </c>
      <c r="E41" s="13">
        <v>31</v>
      </c>
    </row>
    <row r="42" spans="1:5" ht="15.75" x14ac:dyDescent="0.25">
      <c r="A42" s="14" t="s">
        <v>71</v>
      </c>
      <c r="B42" s="65">
        <v>1790</v>
      </c>
      <c r="C42" s="66">
        <v>6</v>
      </c>
      <c r="D42" s="105">
        <v>100</v>
      </c>
      <c r="E42" s="13">
        <v>85</v>
      </c>
    </row>
    <row r="43" spans="1:5" ht="15.75" x14ac:dyDescent="0.25">
      <c r="A43" s="14" t="s">
        <v>70</v>
      </c>
      <c r="B43" s="65">
        <v>2500</v>
      </c>
      <c r="C43" s="66">
        <v>6</v>
      </c>
      <c r="D43" s="104">
        <v>163</v>
      </c>
      <c r="E43" s="13">
        <v>8</v>
      </c>
    </row>
    <row r="44" spans="1:5" ht="15.75" x14ac:dyDescent="0.25">
      <c r="A44" s="14" t="s">
        <v>68</v>
      </c>
      <c r="B44" s="65">
        <v>100</v>
      </c>
      <c r="C44" s="66">
        <v>7</v>
      </c>
      <c r="D44" s="104">
        <v>136</v>
      </c>
      <c r="E44" s="13">
        <v>35</v>
      </c>
    </row>
    <row r="45" spans="1:5" ht="15.75" x14ac:dyDescent="0.25">
      <c r="A45" s="14" t="s">
        <v>67</v>
      </c>
      <c r="B45" s="65">
        <v>145</v>
      </c>
      <c r="C45" s="66">
        <v>7</v>
      </c>
      <c r="D45" s="109">
        <v>141</v>
      </c>
      <c r="E45" s="13">
        <v>30</v>
      </c>
    </row>
    <row r="46" spans="1:5" ht="15.75" x14ac:dyDescent="0.25">
      <c r="A46" s="14" t="s">
        <v>66</v>
      </c>
      <c r="B46" s="65">
        <v>214</v>
      </c>
      <c r="C46" s="66">
        <v>7</v>
      </c>
      <c r="D46" s="109">
        <v>169</v>
      </c>
      <c r="E46" s="13">
        <v>4</v>
      </c>
    </row>
    <row r="47" spans="1:5" ht="15.75" x14ac:dyDescent="0.25">
      <c r="A47" s="14" t="s">
        <v>65</v>
      </c>
      <c r="B47" s="65">
        <v>429</v>
      </c>
      <c r="C47" s="66">
        <v>7</v>
      </c>
      <c r="D47" s="115">
        <v>174</v>
      </c>
      <c r="E47" s="13">
        <v>3</v>
      </c>
    </row>
    <row r="48" spans="1:5" ht="15.75" x14ac:dyDescent="0.25">
      <c r="A48" s="14" t="s">
        <v>64</v>
      </c>
      <c r="B48" s="65">
        <v>746</v>
      </c>
      <c r="C48" s="66">
        <v>7</v>
      </c>
      <c r="D48" s="104">
        <v>187</v>
      </c>
      <c r="E48" s="13">
        <v>1</v>
      </c>
    </row>
    <row r="49" spans="1:5" ht="15.75" x14ac:dyDescent="0.25">
      <c r="A49" s="14" t="s">
        <v>63</v>
      </c>
      <c r="B49" s="65">
        <v>826</v>
      </c>
      <c r="C49" s="66">
        <v>7</v>
      </c>
      <c r="D49" s="109">
        <v>163</v>
      </c>
      <c r="E49" s="13">
        <v>8</v>
      </c>
    </row>
    <row r="50" spans="1:5" ht="15.75" x14ac:dyDescent="0.25">
      <c r="A50" s="14" t="s">
        <v>62</v>
      </c>
      <c r="B50" s="65">
        <v>1147</v>
      </c>
      <c r="C50" s="66">
        <v>7</v>
      </c>
      <c r="D50" s="104">
        <v>153</v>
      </c>
      <c r="E50" s="13">
        <v>17</v>
      </c>
    </row>
    <row r="51" spans="1:5" ht="15.75" x14ac:dyDescent="0.25">
      <c r="A51" s="14" t="s">
        <v>60</v>
      </c>
      <c r="B51" s="65">
        <v>97</v>
      </c>
      <c r="C51" s="66">
        <v>9</v>
      </c>
      <c r="D51" s="104">
        <v>101</v>
      </c>
      <c r="E51" s="13">
        <v>83</v>
      </c>
    </row>
    <row r="52" spans="1:5" ht="15.75" x14ac:dyDescent="0.25">
      <c r="A52" s="14" t="s">
        <v>59</v>
      </c>
      <c r="B52" s="65">
        <v>146</v>
      </c>
      <c r="C52" s="66">
        <v>9</v>
      </c>
      <c r="D52" s="104">
        <v>100</v>
      </c>
      <c r="E52" s="13">
        <v>85</v>
      </c>
    </row>
    <row r="53" spans="1:5" ht="15.75" x14ac:dyDescent="0.25">
      <c r="A53" s="14" t="s">
        <v>58</v>
      </c>
      <c r="B53" s="65">
        <v>154</v>
      </c>
      <c r="C53" s="66">
        <v>9</v>
      </c>
      <c r="D53" s="104">
        <v>77</v>
      </c>
      <c r="E53" s="13">
        <v>95</v>
      </c>
    </row>
    <row r="54" spans="1:5" ht="15.75" x14ac:dyDescent="0.25">
      <c r="A54" s="14" t="s">
        <v>57</v>
      </c>
      <c r="B54" s="65">
        <v>206</v>
      </c>
      <c r="C54" s="66">
        <v>9</v>
      </c>
      <c r="D54" s="109">
        <v>133</v>
      </c>
      <c r="E54" s="13">
        <v>42</v>
      </c>
    </row>
    <row r="55" spans="1:5" ht="15.75" x14ac:dyDescent="0.25">
      <c r="A55" s="14" t="s">
        <v>56</v>
      </c>
      <c r="B55" s="65">
        <v>268</v>
      </c>
      <c r="C55" s="66">
        <v>9</v>
      </c>
      <c r="D55" s="105">
        <v>121</v>
      </c>
      <c r="E55" s="13">
        <v>59</v>
      </c>
    </row>
    <row r="56" spans="1:5" ht="15.75" x14ac:dyDescent="0.25">
      <c r="A56" s="14" t="s">
        <v>55</v>
      </c>
      <c r="B56" s="65">
        <v>327</v>
      </c>
      <c r="C56" s="66">
        <v>9</v>
      </c>
      <c r="D56" s="109">
        <v>127</v>
      </c>
      <c r="E56" s="13">
        <v>50</v>
      </c>
    </row>
    <row r="57" spans="1:5" ht="15.75" x14ac:dyDescent="0.25">
      <c r="A57" s="14" t="s">
        <v>54</v>
      </c>
      <c r="B57" s="65">
        <v>350</v>
      </c>
      <c r="C57" s="66">
        <v>9</v>
      </c>
      <c r="D57" s="104">
        <v>75</v>
      </c>
      <c r="E57" s="13">
        <v>98</v>
      </c>
    </row>
    <row r="58" spans="1:5" ht="15.75" x14ac:dyDescent="0.25">
      <c r="A58" s="14" t="s">
        <v>53</v>
      </c>
      <c r="B58" s="65">
        <v>460</v>
      </c>
      <c r="C58" s="66">
        <v>9</v>
      </c>
      <c r="D58" s="104">
        <v>167</v>
      </c>
      <c r="E58" s="13">
        <v>5</v>
      </c>
    </row>
    <row r="59" spans="1:5" ht="15.75" x14ac:dyDescent="0.25">
      <c r="A59" s="14" t="s">
        <v>52</v>
      </c>
      <c r="B59" s="65">
        <v>941</v>
      </c>
      <c r="C59" s="66">
        <v>9</v>
      </c>
      <c r="D59" s="105">
        <v>135</v>
      </c>
      <c r="E59" s="13">
        <v>37</v>
      </c>
    </row>
    <row r="60" spans="1:5" ht="15.75" x14ac:dyDescent="0.25">
      <c r="A60" s="14" t="s">
        <v>51</v>
      </c>
      <c r="B60" s="65">
        <v>1172</v>
      </c>
      <c r="C60" s="66">
        <v>9</v>
      </c>
      <c r="D60" s="104">
        <v>76</v>
      </c>
      <c r="E60" s="13">
        <v>96</v>
      </c>
    </row>
    <row r="61" spans="1:5" ht="15.75" x14ac:dyDescent="0.25">
      <c r="A61" s="14" t="s">
        <v>50</v>
      </c>
      <c r="B61" s="65">
        <v>1183</v>
      </c>
      <c r="C61" s="66">
        <v>9</v>
      </c>
      <c r="D61" s="105">
        <v>153</v>
      </c>
      <c r="E61" s="13">
        <v>17</v>
      </c>
    </row>
    <row r="62" spans="1:5" ht="15.75" x14ac:dyDescent="0.25">
      <c r="A62" s="14" t="s">
        <v>49</v>
      </c>
      <c r="B62" s="65">
        <v>1565</v>
      </c>
      <c r="C62" s="66">
        <v>9</v>
      </c>
      <c r="D62" s="109">
        <v>119</v>
      </c>
      <c r="E62" s="13">
        <v>62</v>
      </c>
    </row>
    <row r="63" spans="1:5" ht="15.75" x14ac:dyDescent="0.25">
      <c r="A63" s="14" t="s">
        <v>47</v>
      </c>
      <c r="B63" s="65">
        <v>16</v>
      </c>
      <c r="C63" s="66">
        <v>11</v>
      </c>
      <c r="D63" s="109">
        <v>131</v>
      </c>
      <c r="E63" s="13">
        <v>46</v>
      </c>
    </row>
    <row r="64" spans="1:5" ht="15.75" x14ac:dyDescent="0.25">
      <c r="A64" s="14" t="s">
        <v>46</v>
      </c>
      <c r="B64" s="65">
        <v>20</v>
      </c>
      <c r="C64" s="66">
        <v>11</v>
      </c>
      <c r="D64" s="104">
        <v>120</v>
      </c>
      <c r="E64" s="13">
        <v>61</v>
      </c>
    </row>
    <row r="65" spans="1:5" ht="15.75" x14ac:dyDescent="0.25">
      <c r="A65" s="14" t="s">
        <v>45</v>
      </c>
      <c r="B65" s="65">
        <v>31</v>
      </c>
      <c r="C65" s="66">
        <v>11</v>
      </c>
      <c r="D65" s="115">
        <v>76</v>
      </c>
      <c r="E65" s="13">
        <v>96</v>
      </c>
    </row>
    <row r="66" spans="1:5" ht="15.75" x14ac:dyDescent="0.25">
      <c r="A66" s="14" t="s">
        <v>44</v>
      </c>
      <c r="B66" s="65">
        <v>172</v>
      </c>
      <c r="C66" s="66">
        <v>11</v>
      </c>
      <c r="D66" s="105">
        <v>157</v>
      </c>
      <c r="E66" s="13">
        <v>14</v>
      </c>
    </row>
    <row r="67" spans="1:5" ht="15.75" x14ac:dyDescent="0.25">
      <c r="A67" s="14" t="s">
        <v>43</v>
      </c>
      <c r="B67" s="65">
        <v>194</v>
      </c>
      <c r="C67" s="66">
        <v>11</v>
      </c>
      <c r="D67" s="109">
        <v>145</v>
      </c>
      <c r="E67" s="13">
        <v>26</v>
      </c>
    </row>
    <row r="68" spans="1:5" ht="15.75" x14ac:dyDescent="0.25">
      <c r="A68" s="14" t="s">
        <v>42</v>
      </c>
      <c r="B68" s="65">
        <v>209</v>
      </c>
      <c r="C68" s="66">
        <v>11</v>
      </c>
      <c r="D68" s="105">
        <v>115</v>
      </c>
      <c r="E68" s="13">
        <v>70</v>
      </c>
    </row>
    <row r="69" spans="1:5" ht="15.75" x14ac:dyDescent="0.25">
      <c r="A69" s="14" t="s">
        <v>41</v>
      </c>
      <c r="B69" s="65">
        <v>461</v>
      </c>
      <c r="C69" s="66">
        <v>11</v>
      </c>
      <c r="D69" s="115">
        <v>117</v>
      </c>
      <c r="E69" s="13">
        <v>68</v>
      </c>
    </row>
    <row r="70" spans="1:5" ht="15.75" x14ac:dyDescent="0.25">
      <c r="A70" s="14" t="s">
        <v>40</v>
      </c>
      <c r="B70" s="65">
        <v>1358</v>
      </c>
      <c r="C70" s="66">
        <v>11</v>
      </c>
      <c r="D70" s="104">
        <v>123</v>
      </c>
      <c r="E70" s="13">
        <v>57</v>
      </c>
    </row>
    <row r="71" spans="1:5" ht="15.75" x14ac:dyDescent="0.25">
      <c r="A71" s="14" t="s">
        <v>39</v>
      </c>
      <c r="B71" s="65">
        <v>1625</v>
      </c>
      <c r="C71" s="66">
        <v>11</v>
      </c>
      <c r="D71" s="105">
        <v>82</v>
      </c>
      <c r="E71" s="13">
        <v>94</v>
      </c>
    </row>
    <row r="72" spans="1:5" ht="15.75" x14ac:dyDescent="0.25">
      <c r="A72" s="14" t="s">
        <v>37</v>
      </c>
      <c r="B72" s="65">
        <v>86</v>
      </c>
      <c r="C72" s="66">
        <v>12</v>
      </c>
      <c r="D72" s="104">
        <v>65</v>
      </c>
      <c r="E72" s="13">
        <v>102</v>
      </c>
    </row>
    <row r="73" spans="1:5" ht="15.75" x14ac:dyDescent="0.25">
      <c r="A73" s="14" t="s">
        <v>36</v>
      </c>
      <c r="B73" s="65">
        <v>234</v>
      </c>
      <c r="C73" s="66">
        <v>12</v>
      </c>
      <c r="D73" s="104">
        <v>126</v>
      </c>
      <c r="E73" s="13">
        <v>51</v>
      </c>
    </row>
    <row r="74" spans="1:5" ht="15.75" x14ac:dyDescent="0.25">
      <c r="A74" s="14" t="s">
        <v>35</v>
      </c>
      <c r="B74" s="65">
        <v>236</v>
      </c>
      <c r="C74" s="66">
        <v>12</v>
      </c>
      <c r="D74" s="104">
        <v>108</v>
      </c>
      <c r="E74" s="13">
        <v>76</v>
      </c>
    </row>
    <row r="75" spans="1:5" ht="15.75" x14ac:dyDescent="0.25">
      <c r="A75" s="19" t="s">
        <v>34</v>
      </c>
      <c r="B75" s="68">
        <v>250</v>
      </c>
      <c r="C75" s="69">
        <v>12</v>
      </c>
      <c r="D75" s="104">
        <v>132</v>
      </c>
      <c r="E75" s="13">
        <v>45</v>
      </c>
    </row>
    <row r="76" spans="1:5" ht="15.75" x14ac:dyDescent="0.25">
      <c r="A76" s="14" t="s">
        <v>33</v>
      </c>
      <c r="B76" s="65">
        <v>298</v>
      </c>
      <c r="C76" s="66">
        <v>12</v>
      </c>
      <c r="D76" s="105">
        <v>118</v>
      </c>
      <c r="E76" s="13">
        <v>65</v>
      </c>
    </row>
    <row r="77" spans="1:5" ht="15.75" x14ac:dyDescent="0.25">
      <c r="A77" s="14" t="s">
        <v>32</v>
      </c>
      <c r="B77" s="65">
        <v>609</v>
      </c>
      <c r="C77" s="66">
        <v>12</v>
      </c>
      <c r="D77" s="105">
        <v>119</v>
      </c>
      <c r="E77" s="13">
        <v>62</v>
      </c>
    </row>
    <row r="78" spans="1:5" ht="15.75" x14ac:dyDescent="0.25">
      <c r="A78" s="14" t="s">
        <v>31</v>
      </c>
      <c r="B78" s="65">
        <v>1436</v>
      </c>
      <c r="C78" s="66">
        <v>12</v>
      </c>
      <c r="D78" s="109">
        <v>121</v>
      </c>
      <c r="E78" s="13">
        <v>59</v>
      </c>
    </row>
    <row r="79" spans="1:5" ht="15.75" x14ac:dyDescent="0.25">
      <c r="A79" s="14" t="s">
        <v>29</v>
      </c>
      <c r="B79" s="65">
        <v>37</v>
      </c>
      <c r="C79" s="66">
        <v>13</v>
      </c>
      <c r="D79" s="105">
        <v>110</v>
      </c>
      <c r="E79" s="13">
        <v>74</v>
      </c>
    </row>
    <row r="80" spans="1:5" ht="15.75" x14ac:dyDescent="0.25">
      <c r="A80" s="14" t="s">
        <v>28</v>
      </c>
      <c r="B80" s="65">
        <v>53</v>
      </c>
      <c r="C80" s="66">
        <v>13</v>
      </c>
      <c r="D80" s="109">
        <v>125</v>
      </c>
      <c r="E80" s="13">
        <v>54</v>
      </c>
    </row>
    <row r="81" spans="1:5" ht="15.75" x14ac:dyDescent="0.25">
      <c r="A81" s="14" t="s">
        <v>27</v>
      </c>
      <c r="B81" s="65">
        <v>102</v>
      </c>
      <c r="C81" s="66">
        <v>13</v>
      </c>
      <c r="D81" s="104">
        <v>131</v>
      </c>
      <c r="E81" s="13">
        <v>46</v>
      </c>
    </row>
    <row r="82" spans="1:5" ht="15.75" x14ac:dyDescent="0.25">
      <c r="A82" s="14" t="s">
        <v>26</v>
      </c>
      <c r="B82" s="65">
        <v>174</v>
      </c>
      <c r="C82" s="66">
        <v>13</v>
      </c>
      <c r="D82" s="115">
        <v>146</v>
      </c>
      <c r="E82" s="13">
        <v>24</v>
      </c>
    </row>
    <row r="83" spans="1:5" ht="15.75" x14ac:dyDescent="0.25">
      <c r="A83" s="14" t="s">
        <v>25</v>
      </c>
      <c r="B83" s="65">
        <v>207</v>
      </c>
      <c r="C83" s="66">
        <v>13</v>
      </c>
      <c r="D83" s="104">
        <v>118</v>
      </c>
      <c r="E83" s="13">
        <v>65</v>
      </c>
    </row>
    <row r="84" spans="1:5" ht="15.75" x14ac:dyDescent="0.25">
      <c r="A84" s="14" t="s">
        <v>283</v>
      </c>
      <c r="B84" s="65">
        <v>833</v>
      </c>
      <c r="C84" s="66">
        <v>13</v>
      </c>
      <c r="D84" s="104">
        <v>135</v>
      </c>
      <c r="E84" s="13">
        <v>37</v>
      </c>
    </row>
    <row r="85" spans="1:5" ht="15.75" x14ac:dyDescent="0.25">
      <c r="A85" s="14" t="s">
        <v>23</v>
      </c>
      <c r="B85" s="65">
        <v>954</v>
      </c>
      <c r="C85" s="66">
        <v>13</v>
      </c>
      <c r="D85" s="109">
        <v>96</v>
      </c>
      <c r="E85" s="13">
        <v>89</v>
      </c>
    </row>
    <row r="86" spans="1:5" ht="15.75" x14ac:dyDescent="0.25">
      <c r="A86" s="14" t="s">
        <v>21</v>
      </c>
      <c r="B86" s="65">
        <v>51</v>
      </c>
      <c r="C86" s="66">
        <v>14</v>
      </c>
      <c r="D86" s="115">
        <v>92</v>
      </c>
      <c r="E86" s="13">
        <v>90</v>
      </c>
    </row>
    <row r="87" spans="1:5" ht="15.75" x14ac:dyDescent="0.25">
      <c r="A87" s="14" t="s">
        <v>20</v>
      </c>
      <c r="B87" s="65">
        <v>64</v>
      </c>
      <c r="C87" s="66">
        <v>14</v>
      </c>
      <c r="D87" s="104">
        <v>89</v>
      </c>
      <c r="E87" s="13">
        <v>91</v>
      </c>
    </row>
    <row r="88" spans="1:5" ht="15.75" x14ac:dyDescent="0.25">
      <c r="A88" s="14" t="s">
        <v>19</v>
      </c>
      <c r="B88" s="65">
        <v>93</v>
      </c>
      <c r="C88" s="66">
        <v>14</v>
      </c>
      <c r="D88" s="104">
        <v>83</v>
      </c>
      <c r="E88" s="13">
        <v>93</v>
      </c>
    </row>
    <row r="89" spans="1:5" ht="15.75" x14ac:dyDescent="0.25">
      <c r="A89" s="14" t="s">
        <v>18</v>
      </c>
      <c r="B89" s="65">
        <v>101</v>
      </c>
      <c r="C89" s="66">
        <v>14</v>
      </c>
      <c r="D89" s="105">
        <v>124</v>
      </c>
      <c r="E89" s="13">
        <v>56</v>
      </c>
    </row>
    <row r="90" spans="1:5" ht="15.75" x14ac:dyDescent="0.25">
      <c r="A90" s="14" t="s">
        <v>17</v>
      </c>
      <c r="B90" s="65">
        <v>137</v>
      </c>
      <c r="C90" s="66">
        <v>14</v>
      </c>
      <c r="D90" s="105">
        <v>110</v>
      </c>
      <c r="E90" s="13">
        <v>74</v>
      </c>
    </row>
    <row r="91" spans="1:5" ht="15.75" x14ac:dyDescent="0.25">
      <c r="A91" s="14" t="s">
        <v>16</v>
      </c>
      <c r="B91" s="65">
        <v>366</v>
      </c>
      <c r="C91" s="66">
        <v>14</v>
      </c>
      <c r="D91" s="105">
        <v>101</v>
      </c>
      <c r="E91" s="13">
        <v>83</v>
      </c>
    </row>
    <row r="92" spans="1:5" ht="15.75" x14ac:dyDescent="0.25">
      <c r="A92" s="14" t="s">
        <v>15</v>
      </c>
      <c r="B92" s="65">
        <v>962</v>
      </c>
      <c r="C92" s="66">
        <v>14</v>
      </c>
      <c r="D92" s="105">
        <v>112</v>
      </c>
      <c r="E92" s="13">
        <v>73</v>
      </c>
    </row>
    <row r="93" spans="1:5" ht="15.75" x14ac:dyDescent="0.25">
      <c r="A93" s="14" t="s">
        <v>13</v>
      </c>
      <c r="B93" s="65">
        <v>66</v>
      </c>
      <c r="C93" s="66">
        <v>15</v>
      </c>
      <c r="D93" s="104">
        <v>99</v>
      </c>
      <c r="E93" s="13">
        <v>87</v>
      </c>
    </row>
    <row r="94" spans="1:5" ht="15.75" x14ac:dyDescent="0.25">
      <c r="A94" s="14" t="s">
        <v>12</v>
      </c>
      <c r="B94" s="65">
        <v>78</v>
      </c>
      <c r="C94" s="66">
        <v>15</v>
      </c>
      <c r="D94" s="109">
        <v>167</v>
      </c>
      <c r="E94" s="13">
        <v>5</v>
      </c>
    </row>
    <row r="95" spans="1:5" ht="15.75" x14ac:dyDescent="0.25">
      <c r="A95" s="14" t="s">
        <v>11</v>
      </c>
      <c r="B95" s="65">
        <v>83</v>
      </c>
      <c r="C95" s="66">
        <v>15</v>
      </c>
      <c r="D95" s="105">
        <v>184</v>
      </c>
      <c r="E95" s="13">
        <v>2</v>
      </c>
    </row>
    <row r="96" spans="1:5" ht="15.75" x14ac:dyDescent="0.25">
      <c r="A96" s="14" t="s">
        <v>10</v>
      </c>
      <c r="B96" s="65">
        <v>84</v>
      </c>
      <c r="C96" s="66">
        <v>15</v>
      </c>
      <c r="D96" s="109">
        <v>137</v>
      </c>
      <c r="E96" s="13">
        <v>33</v>
      </c>
    </row>
    <row r="97" spans="1:5" ht="15.75" x14ac:dyDescent="0.25">
      <c r="A97" s="14" t="s">
        <v>9</v>
      </c>
      <c r="B97" s="65">
        <v>98</v>
      </c>
      <c r="C97" s="66">
        <v>15</v>
      </c>
      <c r="D97" s="104">
        <v>146</v>
      </c>
      <c r="E97" s="13">
        <v>24</v>
      </c>
    </row>
    <row r="98" spans="1:5" ht="15.75" x14ac:dyDescent="0.25">
      <c r="A98" s="14" t="s">
        <v>8</v>
      </c>
      <c r="B98" s="65">
        <v>109</v>
      </c>
      <c r="C98" s="66">
        <v>15</v>
      </c>
      <c r="D98" s="109">
        <v>104</v>
      </c>
      <c r="E98" s="13">
        <v>80</v>
      </c>
    </row>
    <row r="99" spans="1:5" ht="15.75" x14ac:dyDescent="0.25">
      <c r="A99" s="14" t="s">
        <v>7</v>
      </c>
      <c r="B99" s="65">
        <v>276</v>
      </c>
      <c r="C99" s="66">
        <v>15</v>
      </c>
      <c r="D99" s="109">
        <v>136</v>
      </c>
      <c r="E99" s="13">
        <v>35</v>
      </c>
    </row>
    <row r="100" spans="1:5" ht="15.75" x14ac:dyDescent="0.25">
      <c r="A100" s="14" t="s">
        <v>6</v>
      </c>
      <c r="B100" s="65">
        <v>381</v>
      </c>
      <c r="C100" s="66">
        <v>15</v>
      </c>
      <c r="D100" s="115">
        <v>137</v>
      </c>
      <c r="E100" s="13">
        <v>33</v>
      </c>
    </row>
    <row r="101" spans="1:5" ht="15.75" x14ac:dyDescent="0.25">
      <c r="A101" s="14" t="s">
        <v>5</v>
      </c>
      <c r="B101" s="65">
        <v>593</v>
      </c>
      <c r="C101" s="66">
        <v>15</v>
      </c>
      <c r="D101" s="105">
        <v>138</v>
      </c>
      <c r="E101" s="13">
        <v>31</v>
      </c>
    </row>
    <row r="102" spans="1:5" ht="15.75" x14ac:dyDescent="0.25">
      <c r="A102" s="14" t="s">
        <v>4</v>
      </c>
      <c r="B102" s="65">
        <v>882</v>
      </c>
      <c r="C102" s="66">
        <v>15</v>
      </c>
      <c r="D102" s="105">
        <v>69</v>
      </c>
      <c r="E102" s="13">
        <v>101</v>
      </c>
    </row>
    <row r="103" spans="1:5" ht="15.75" x14ac:dyDescent="0.25">
      <c r="A103" s="14" t="s">
        <v>3</v>
      </c>
      <c r="B103" s="65">
        <v>2505</v>
      </c>
      <c r="C103" s="66">
        <v>15</v>
      </c>
      <c r="D103" s="109">
        <v>126</v>
      </c>
      <c r="E103" s="13">
        <v>51</v>
      </c>
    </row>
    <row r="104" spans="1:5" ht="15.75" x14ac:dyDescent="0.25">
      <c r="A104" s="14" t="s">
        <v>2</v>
      </c>
      <c r="B104" s="65">
        <v>2568</v>
      </c>
      <c r="C104" s="66">
        <v>15</v>
      </c>
      <c r="D104" s="104">
        <v>126</v>
      </c>
      <c r="E104" s="13">
        <v>51</v>
      </c>
    </row>
    <row r="105" spans="1:5" ht="15.75" x14ac:dyDescent="0.25">
      <c r="A105" s="14"/>
      <c r="B105" s="65"/>
      <c r="C105" s="110"/>
      <c r="D105" s="111"/>
      <c r="E105" s="111"/>
    </row>
    <row r="106" spans="1:5" ht="15.75" x14ac:dyDescent="0.25">
      <c r="A106" s="14"/>
      <c r="B106" s="65"/>
      <c r="C106" s="110"/>
      <c r="D106" s="112"/>
      <c r="E106" s="111"/>
    </row>
  </sheetData>
  <sortState xmlns:xlrd2="http://schemas.microsoft.com/office/spreadsheetml/2017/richdata2" ref="A1:E104">
    <sortCondition ref="C1:C104"/>
    <sortCondition ref="B1:B104"/>
  </sortState>
  <mergeCells count="7">
    <mergeCell ref="G14:G15"/>
    <mergeCell ref="G1:G2"/>
    <mergeCell ref="G4:G5"/>
    <mergeCell ref="G6:G7"/>
    <mergeCell ref="G8:G9"/>
    <mergeCell ref="G10:G11"/>
    <mergeCell ref="G12:G13"/>
  </mergeCells>
  <conditionalFormatting sqref="D1:D104">
    <cfRule type="cellIs" dxfId="42" priority="1" operator="lessThanOrEqual">
      <formula>$G$14</formula>
    </cfRule>
    <cfRule type="cellIs" dxfId="41" priority="2" operator="lessThanOrEqual">
      <formula>$G$10</formula>
    </cfRule>
    <cfRule type="cellIs" dxfId="40" priority="3" operator="greaterThan">
      <formula>$G$10</formula>
    </cfRule>
  </conditionalFormatting>
  <pageMargins left="0.7" right="0.7" top="0.75" bottom="0.75" header="0.3" footer="0.3"/>
  <pageSetup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00D2D-4DE8-4265-A21D-E3EB9C0833E6}">
  <sheetPr>
    <tabColor rgb="FF7030A0"/>
  </sheetPr>
  <dimension ref="A1:M29"/>
  <sheetViews>
    <sheetView zoomScaleNormal="100" workbookViewId="0">
      <selection activeCell="J28" sqref="J28:L29"/>
    </sheetView>
  </sheetViews>
  <sheetFormatPr defaultRowHeight="15" x14ac:dyDescent="0.25"/>
  <cols>
    <col min="1" max="1" width="26.140625" customWidth="1"/>
    <col min="2" max="2" width="11.7109375" bestFit="1" customWidth="1"/>
    <col min="3" max="13" width="9.140625" bestFit="1" customWidth="1"/>
  </cols>
  <sheetData>
    <row r="1" spans="1:13" ht="18.75" x14ac:dyDescent="0.25">
      <c r="A1" s="58" t="s">
        <v>287</v>
      </c>
      <c r="B1" s="58">
        <v>1</v>
      </c>
      <c r="C1" s="58">
        <v>3</v>
      </c>
      <c r="D1" s="58">
        <v>4</v>
      </c>
      <c r="E1" s="58">
        <v>5</v>
      </c>
      <c r="F1" s="58">
        <v>6</v>
      </c>
      <c r="G1" s="58">
        <v>7</v>
      </c>
      <c r="H1" s="58">
        <v>9</v>
      </c>
      <c r="I1" s="58">
        <v>11</v>
      </c>
      <c r="J1" s="58">
        <v>12</v>
      </c>
      <c r="K1" s="58">
        <v>13</v>
      </c>
      <c r="L1" s="58">
        <v>14</v>
      </c>
      <c r="M1" s="58">
        <v>15</v>
      </c>
    </row>
    <row r="2" spans="1:13" ht="18.75" x14ac:dyDescent="0.25">
      <c r="A2" s="32" t="s">
        <v>268</v>
      </c>
      <c r="B2" s="31"/>
      <c r="C2" s="31"/>
      <c r="D2" s="31"/>
      <c r="E2" s="31"/>
      <c r="F2" s="31"/>
      <c r="G2" s="31"/>
      <c r="H2" s="31"/>
      <c r="I2" s="31"/>
      <c r="J2" s="30"/>
      <c r="K2" s="30"/>
      <c r="L2" s="30"/>
      <c r="M2" s="30"/>
    </row>
    <row r="3" spans="1:13" x14ac:dyDescent="0.25">
      <c r="A3" s="60" t="s">
        <v>269</v>
      </c>
      <c r="B3" s="63">
        <f>'D1'!J3</f>
        <v>55</v>
      </c>
      <c r="C3" s="63">
        <f>'D3'!K3</f>
        <v>49</v>
      </c>
      <c r="D3" s="63">
        <f>'D4'!L3</f>
        <v>83</v>
      </c>
      <c r="E3" s="63">
        <f>'D5'!I3</f>
        <v>65</v>
      </c>
      <c r="F3" s="63">
        <f>'D6'!K3</f>
        <v>69</v>
      </c>
      <c r="G3" s="63">
        <f>'D7'!I3</f>
        <v>62</v>
      </c>
      <c r="H3" s="63">
        <f>'D9'!N3</f>
        <v>112</v>
      </c>
      <c r="I3" s="63">
        <f>'D11'!K3</f>
        <v>75</v>
      </c>
      <c r="J3" s="63">
        <f>'D12'!I3</f>
        <v>64</v>
      </c>
      <c r="K3" s="63">
        <f>'D13'!I3</f>
        <v>60</v>
      </c>
      <c r="L3" s="63">
        <f>'D14'!I3</f>
        <v>51</v>
      </c>
      <c r="M3" s="63">
        <f>'D15'!N3</f>
        <v>102</v>
      </c>
    </row>
    <row r="4" spans="1:13" x14ac:dyDescent="0.25">
      <c r="A4" s="60" t="s">
        <v>133</v>
      </c>
      <c r="B4" s="63">
        <f>'D1'!J4</f>
        <v>71</v>
      </c>
      <c r="C4" s="63">
        <f>'D3'!K4</f>
        <v>84</v>
      </c>
      <c r="D4" s="63">
        <f>'D4'!L4</f>
        <v>95</v>
      </c>
      <c r="E4" s="63">
        <f>'D5'!I4</f>
        <v>66</v>
      </c>
      <c r="F4" s="63">
        <f>'D6'!K4</f>
        <v>89</v>
      </c>
      <c r="G4" s="63">
        <f>'D7'!I4</f>
        <v>68</v>
      </c>
      <c r="H4" s="63">
        <f>'D9'!N4</f>
        <v>115</v>
      </c>
      <c r="I4" s="63">
        <f>'D11'!K4</f>
        <v>81</v>
      </c>
      <c r="J4" s="63">
        <f>'D12'!I4</f>
        <v>61</v>
      </c>
      <c r="K4" s="63">
        <f>'D13'!I4</f>
        <v>66</v>
      </c>
      <c r="L4" s="63">
        <f>'D14'!I4</f>
        <v>63</v>
      </c>
      <c r="M4" s="63">
        <f>'D15'!N4</f>
        <v>114</v>
      </c>
    </row>
    <row r="5" spans="1:13" x14ac:dyDescent="0.25">
      <c r="A5" s="60" t="s">
        <v>270</v>
      </c>
      <c r="B5" s="63">
        <f>'D1'!J5</f>
        <v>61</v>
      </c>
      <c r="C5" s="63">
        <f>'D3'!K5</f>
        <v>74</v>
      </c>
      <c r="D5" s="63">
        <f>'D4'!L5</f>
        <v>93</v>
      </c>
      <c r="E5" s="63">
        <f>'D5'!I5</f>
        <v>65</v>
      </c>
      <c r="F5" s="63">
        <f>'D6'!K5</f>
        <v>60</v>
      </c>
      <c r="G5" s="63">
        <f>'D7'!I5</f>
        <v>60</v>
      </c>
      <c r="H5" s="63">
        <f>'D9'!N5</f>
        <v>96</v>
      </c>
      <c r="I5" s="63">
        <f>'D11'!K5</f>
        <v>58</v>
      </c>
      <c r="J5" s="63">
        <f>'D12'!I5</f>
        <v>56</v>
      </c>
      <c r="K5" s="63">
        <f>'D13'!I5</f>
        <v>50</v>
      </c>
      <c r="L5" s="63">
        <f>'D14'!I5</f>
        <v>42</v>
      </c>
      <c r="M5" s="63">
        <f>'D15'!N5</f>
        <v>104</v>
      </c>
    </row>
    <row r="6" spans="1:13" x14ac:dyDescent="0.25">
      <c r="A6" s="62" t="s">
        <v>271</v>
      </c>
      <c r="B6" s="63">
        <f>'D1'!J6</f>
        <v>49</v>
      </c>
      <c r="C6" s="63">
        <f>'D3'!K6</f>
        <v>63</v>
      </c>
      <c r="D6" s="63">
        <f>'D4'!L6</f>
        <v>83</v>
      </c>
      <c r="E6" s="63">
        <f>'D5'!I6</f>
        <v>50</v>
      </c>
      <c r="F6" s="63">
        <f>'D6'!K6</f>
        <v>65</v>
      </c>
      <c r="G6" s="63">
        <f>'D7'!I6</f>
        <v>60</v>
      </c>
      <c r="H6" s="63">
        <f>'D9'!N6</f>
        <v>59</v>
      </c>
      <c r="I6" s="63">
        <f>'D11'!K6</f>
        <v>48</v>
      </c>
      <c r="J6" s="63">
        <f>'D12'!I6</f>
        <v>44</v>
      </c>
      <c r="K6" s="63">
        <f>'D13'!I6</f>
        <v>37</v>
      </c>
      <c r="L6" s="63">
        <f>'D14'!I6</f>
        <v>20</v>
      </c>
      <c r="M6" s="63">
        <f>'D15'!N6</f>
        <v>76</v>
      </c>
    </row>
    <row r="7" spans="1:13" x14ac:dyDescent="0.25">
      <c r="A7" s="60" t="s">
        <v>272</v>
      </c>
      <c r="B7" s="63">
        <f>'D1'!J7</f>
        <v>59</v>
      </c>
      <c r="C7" s="63">
        <f>'D3'!K7</f>
        <v>75</v>
      </c>
      <c r="D7" s="63">
        <f>'D4'!L7</f>
        <v>97</v>
      </c>
      <c r="E7" s="63">
        <f>'D5'!I7</f>
        <v>43</v>
      </c>
      <c r="F7" s="63">
        <f>'D6'!K7</f>
        <v>82</v>
      </c>
      <c r="G7" s="63">
        <f>'D7'!I7</f>
        <v>75</v>
      </c>
      <c r="H7" s="63">
        <f>'D9'!N7</f>
        <v>77</v>
      </c>
      <c r="I7" s="63">
        <f>'D11'!K7</f>
        <v>58</v>
      </c>
      <c r="J7" s="63">
        <f>'D12'!I7</f>
        <v>35</v>
      </c>
      <c r="K7" s="63">
        <f>'D13'!I7</f>
        <v>63</v>
      </c>
      <c r="L7" s="63">
        <f>'D14'!I7</f>
        <v>48</v>
      </c>
      <c r="M7" s="63">
        <f>'D15'!N7</f>
        <v>110</v>
      </c>
    </row>
    <row r="8" spans="1:13" x14ac:dyDescent="0.25">
      <c r="A8" s="60" t="s">
        <v>203</v>
      </c>
      <c r="B8" s="63">
        <f>'D1'!J8</f>
        <v>69</v>
      </c>
      <c r="C8" s="63">
        <f>'D3'!K8</f>
        <v>52</v>
      </c>
      <c r="D8" s="63">
        <f>'D4'!L8</f>
        <v>107</v>
      </c>
      <c r="E8" s="63">
        <f>'D5'!I8</f>
        <v>60</v>
      </c>
      <c r="F8" s="63">
        <f>'D6'!K8</f>
        <v>83</v>
      </c>
      <c r="G8" s="63">
        <f>'D7'!I8</f>
        <v>77</v>
      </c>
      <c r="H8" s="63">
        <f>'D9'!N8</f>
        <v>70</v>
      </c>
      <c r="I8" s="63">
        <f>'D11'!K8</f>
        <v>85</v>
      </c>
      <c r="J8" s="63">
        <f>'D12'!I8</f>
        <v>53</v>
      </c>
      <c r="K8" s="63">
        <f>'D13'!I8</f>
        <v>63</v>
      </c>
      <c r="L8" s="63">
        <f>'D14'!I8</f>
        <v>60</v>
      </c>
      <c r="M8" s="63">
        <f>'D15'!N8</f>
        <v>101</v>
      </c>
    </row>
    <row r="9" spans="1:13" x14ac:dyDescent="0.25">
      <c r="A9" s="60" t="s">
        <v>273</v>
      </c>
      <c r="B9" s="63">
        <f>'D1'!J9</f>
        <v>130</v>
      </c>
      <c r="C9" s="63">
        <f>'D3'!K9</f>
        <v>154</v>
      </c>
      <c r="D9" s="63">
        <f>'D4'!L9</f>
        <v>188</v>
      </c>
      <c r="E9" s="63">
        <f>'D5'!I9</f>
        <v>130</v>
      </c>
      <c r="F9" s="63">
        <f>'D6'!K9</f>
        <v>168</v>
      </c>
      <c r="G9" s="63">
        <f>'D7'!I9</f>
        <v>148</v>
      </c>
      <c r="H9" s="63">
        <f>'D9'!N9</f>
        <v>204</v>
      </c>
      <c r="I9" s="63">
        <f>'D11'!K9</f>
        <v>172</v>
      </c>
      <c r="J9" s="63">
        <f>'D12'!I9</f>
        <v>116</v>
      </c>
      <c r="K9" s="63">
        <f>'D13'!I9</f>
        <v>144</v>
      </c>
      <c r="L9" s="63">
        <f>'D14'!I9</f>
        <v>124</v>
      </c>
      <c r="M9" s="63">
        <f>'D15'!N9</f>
        <v>220</v>
      </c>
    </row>
    <row r="10" spans="1:13" x14ac:dyDescent="0.25">
      <c r="A10" s="60" t="s">
        <v>274</v>
      </c>
      <c r="B10" s="63">
        <f>'D1'!J10</f>
        <v>42</v>
      </c>
      <c r="C10" s="63">
        <f>'D3'!K10</f>
        <v>59</v>
      </c>
      <c r="D10" s="63">
        <f>'D4'!L10</f>
        <v>59</v>
      </c>
      <c r="E10" s="63">
        <f>'D5'!I10</f>
        <v>34</v>
      </c>
      <c r="F10" s="63">
        <f>'D6'!K10</f>
        <v>60</v>
      </c>
      <c r="G10" s="63">
        <f>'D7'!I10</f>
        <v>36</v>
      </c>
      <c r="H10" s="63">
        <f>'D9'!N10</f>
        <v>84</v>
      </c>
      <c r="I10" s="63">
        <f>'D11'!K10</f>
        <v>56</v>
      </c>
      <c r="J10" s="63">
        <f>'D12'!I10</f>
        <v>43</v>
      </c>
      <c r="K10" s="63">
        <f>'D13'!I10</f>
        <v>54</v>
      </c>
      <c r="L10" s="63">
        <f>'D14'!I10</f>
        <v>38</v>
      </c>
      <c r="M10" s="63">
        <f>'D15'!N10</f>
        <v>76</v>
      </c>
    </row>
    <row r="11" spans="1:13" x14ac:dyDescent="0.25">
      <c r="A11" s="60" t="s">
        <v>275</v>
      </c>
      <c r="B11" s="63">
        <f>'D1'!J11</f>
        <v>63</v>
      </c>
      <c r="C11" s="63">
        <f>'D3'!K11</f>
        <v>64</v>
      </c>
      <c r="D11" s="63">
        <f>'D4'!L11</f>
        <v>94</v>
      </c>
      <c r="E11" s="63">
        <f>'D5'!I11</f>
        <v>46</v>
      </c>
      <c r="F11" s="63">
        <f>'D6'!K11</f>
        <v>75</v>
      </c>
      <c r="G11" s="63">
        <f>'D7'!I11</f>
        <v>55</v>
      </c>
      <c r="H11" s="63">
        <f>'D9'!N11</f>
        <v>87</v>
      </c>
      <c r="I11" s="63">
        <f>'D11'!K11</f>
        <v>51</v>
      </c>
      <c r="J11" s="63">
        <f>'D12'!I11</f>
        <v>63</v>
      </c>
      <c r="K11" s="63">
        <f>'D13'!I11</f>
        <v>44</v>
      </c>
      <c r="L11" s="63">
        <f>'D14'!I11</f>
        <v>41</v>
      </c>
      <c r="M11" s="63">
        <f>'D15'!N11</f>
        <v>113</v>
      </c>
    </row>
    <row r="12" spans="1:13" x14ac:dyDescent="0.25">
      <c r="A12" s="60" t="s">
        <v>139</v>
      </c>
      <c r="B12" s="63">
        <f>'D1'!J12</f>
        <v>46</v>
      </c>
      <c r="C12" s="63">
        <f>'D3'!K12</f>
        <v>79</v>
      </c>
      <c r="D12" s="63">
        <f>'D4'!L12</f>
        <v>101</v>
      </c>
      <c r="E12" s="63">
        <f>'D5'!I12</f>
        <v>52</v>
      </c>
      <c r="F12" s="63">
        <f>'D6'!K12</f>
        <v>82</v>
      </c>
      <c r="G12" s="63">
        <f>'D7'!I12</f>
        <v>74</v>
      </c>
      <c r="H12" s="63">
        <f>'D9'!N12</f>
        <v>73</v>
      </c>
      <c r="I12" s="63">
        <f>'D11'!K12</f>
        <v>62</v>
      </c>
      <c r="J12" s="63">
        <f>'D12'!I12</f>
        <v>51</v>
      </c>
      <c r="K12" s="63">
        <f>'D13'!I12</f>
        <v>63</v>
      </c>
      <c r="L12" s="63">
        <f>'D14'!I12</f>
        <v>58</v>
      </c>
      <c r="M12" s="63">
        <f>'D15'!N12</f>
        <v>89</v>
      </c>
    </row>
    <row r="13" spans="1:13" x14ac:dyDescent="0.25">
      <c r="A13" s="60" t="s">
        <v>276</v>
      </c>
      <c r="B13" s="63">
        <f>'D1'!J13</f>
        <v>6</v>
      </c>
      <c r="C13" s="63">
        <f>'D3'!K13</f>
        <v>18</v>
      </c>
      <c r="D13" s="63">
        <f>'D4'!L13</f>
        <v>35</v>
      </c>
      <c r="E13" s="63">
        <f>'D5'!I13</f>
        <v>25</v>
      </c>
      <c r="F13" s="63">
        <f>'D6'!K13</f>
        <v>67</v>
      </c>
      <c r="G13" s="63">
        <f>'D7'!I13</f>
        <v>68</v>
      </c>
      <c r="H13" s="63">
        <f>'D9'!N13</f>
        <v>33</v>
      </c>
      <c r="I13" s="63">
        <f>'D11'!K13</f>
        <v>24</v>
      </c>
      <c r="J13" s="63">
        <f>'D12'!I13</f>
        <v>16</v>
      </c>
      <c r="K13" s="63">
        <f>'D13'!I13</f>
        <v>26</v>
      </c>
      <c r="L13" s="63">
        <f>'D14'!I13</f>
        <v>8</v>
      </c>
      <c r="M13" s="63">
        <f>'D15'!N13</f>
        <v>30</v>
      </c>
    </row>
    <row r="14" spans="1:13" x14ac:dyDescent="0.25">
      <c r="A14" s="60" t="s">
        <v>277</v>
      </c>
      <c r="B14" s="71">
        <f>'D1'!J14</f>
        <v>11</v>
      </c>
      <c r="C14" s="71">
        <f>'D3'!K14</f>
        <v>9</v>
      </c>
      <c r="D14" s="71">
        <f>'D4'!L14</f>
        <v>15</v>
      </c>
      <c r="E14" s="71">
        <f>'D5'!I14</f>
        <v>9</v>
      </c>
      <c r="F14" s="71">
        <f>'D6'!K14</f>
        <v>24</v>
      </c>
      <c r="G14" s="71">
        <f>'D7'!I14</f>
        <v>15</v>
      </c>
      <c r="H14" s="71">
        <f>'D9'!N14</f>
        <v>12</v>
      </c>
      <c r="I14" s="71">
        <f>'D11'!K14</f>
        <v>15</v>
      </c>
      <c r="J14" s="71">
        <f>'D12'!I14</f>
        <v>5.25</v>
      </c>
      <c r="K14" s="71">
        <f>'D13'!I14</f>
        <v>4</v>
      </c>
      <c r="L14" s="71">
        <f>'D14'!I14</f>
        <v>13</v>
      </c>
      <c r="M14" s="71">
        <f>'D15'!N14</f>
        <v>16</v>
      </c>
    </row>
    <row r="15" spans="1:13" x14ac:dyDescent="0.25">
      <c r="A15" s="60" t="s">
        <v>278</v>
      </c>
      <c r="B15" s="63">
        <f>'D1'!J15</f>
        <v>71</v>
      </c>
      <c r="C15" s="63">
        <f>'D3'!K15</f>
        <v>90</v>
      </c>
      <c r="D15" s="63">
        <f>'D4'!L15</f>
        <v>97</v>
      </c>
      <c r="E15" s="63">
        <f>'D5'!I15</f>
        <v>51</v>
      </c>
      <c r="F15" s="63">
        <f>'D6'!K15</f>
        <v>113</v>
      </c>
      <c r="G15" s="63">
        <f>'D7'!I15</f>
        <v>104</v>
      </c>
      <c r="H15" s="63">
        <f>'D9'!N15</f>
        <v>113</v>
      </c>
      <c r="I15" s="63">
        <f>'D11'!K15</f>
        <v>89</v>
      </c>
      <c r="J15" s="63">
        <f>'D12'!I15</f>
        <v>41</v>
      </c>
      <c r="K15" s="63">
        <f>'D13'!I15</f>
        <v>37</v>
      </c>
      <c r="L15" s="63">
        <f>'D14'!I15</f>
        <v>33</v>
      </c>
      <c r="M15" s="63">
        <f>'D15'!N15</f>
        <v>128</v>
      </c>
    </row>
    <row r="16" spans="1:13" x14ac:dyDescent="0.25">
      <c r="A16" s="60" t="s">
        <v>249</v>
      </c>
      <c r="B16" s="63">
        <f>'D1'!J16</f>
        <v>0</v>
      </c>
      <c r="C16" s="63">
        <f>'D3'!K16</f>
        <v>11</v>
      </c>
      <c r="D16" s="63">
        <f>'D4'!L16</f>
        <v>0</v>
      </c>
      <c r="E16" s="63">
        <f>'D5'!I16</f>
        <v>0</v>
      </c>
      <c r="F16" s="63">
        <f>'D6'!K16</f>
        <v>8</v>
      </c>
      <c r="G16" s="63">
        <f>'D7'!I16</f>
        <v>22</v>
      </c>
      <c r="H16" s="63">
        <f>'D9'!N16</f>
        <v>11</v>
      </c>
      <c r="I16" s="63">
        <f>'D11'!K16</f>
        <v>8</v>
      </c>
      <c r="J16" s="63">
        <f>'D12'!I16</f>
        <v>0</v>
      </c>
      <c r="K16" s="63">
        <f>'D13'!I16</f>
        <v>11</v>
      </c>
      <c r="L16" s="63">
        <f>'D14'!I156</f>
        <v>0</v>
      </c>
      <c r="M16" s="63">
        <f>'D15'!N16</f>
        <v>19</v>
      </c>
    </row>
    <row r="17" spans="1:13" x14ac:dyDescent="0.25">
      <c r="A17" s="60" t="s">
        <v>136</v>
      </c>
      <c r="B17" s="63">
        <f>'D1'!J17</f>
        <v>77</v>
      </c>
      <c r="C17" s="63">
        <f>'D3'!K17</f>
        <v>99</v>
      </c>
      <c r="D17" s="63">
        <f>'D4'!L17</f>
        <v>99</v>
      </c>
      <c r="E17" s="63">
        <f>'D5'!I17</f>
        <v>66</v>
      </c>
      <c r="F17" s="63">
        <f>'D6'!K17</f>
        <v>99</v>
      </c>
      <c r="G17" s="63">
        <f>'D7'!I17</f>
        <v>77</v>
      </c>
      <c r="H17" s="63">
        <f>'D9'!N17</f>
        <v>121</v>
      </c>
      <c r="I17" s="63">
        <f>'D11'!K17</f>
        <v>88</v>
      </c>
      <c r="J17" s="63">
        <f>'D12'!I17</f>
        <v>77</v>
      </c>
      <c r="K17" s="63">
        <f>'D13'!I17</f>
        <v>77</v>
      </c>
      <c r="L17" s="63">
        <f>'D14'!I17</f>
        <v>66</v>
      </c>
      <c r="M17" s="63">
        <f>'D15'!N17</f>
        <v>132</v>
      </c>
    </row>
    <row r="18" spans="1:13" x14ac:dyDescent="0.25">
      <c r="A18" s="60" t="s">
        <v>279</v>
      </c>
      <c r="B18" s="63">
        <f>'D1'!J18</f>
        <v>45</v>
      </c>
      <c r="C18" s="63">
        <f>'D3'!K18</f>
        <v>65</v>
      </c>
      <c r="D18" s="63">
        <f>'D4'!L18</f>
        <v>81</v>
      </c>
      <c r="E18" s="63">
        <f>'D5'!I18</f>
        <v>55</v>
      </c>
      <c r="F18" s="63">
        <f>'D6'!K18</f>
        <v>73</v>
      </c>
      <c r="G18" s="63">
        <f>'D7'!I18</f>
        <v>80</v>
      </c>
      <c r="H18" s="63">
        <f>'D9'!N18</f>
        <v>74</v>
      </c>
      <c r="I18" s="63">
        <f>'D11'!K18</f>
        <v>52</v>
      </c>
      <c r="J18" s="63">
        <f>'D12'!I18</f>
        <v>46</v>
      </c>
      <c r="K18" s="63">
        <f>'D13'!I18</f>
        <v>38</v>
      </c>
      <c r="L18" s="63">
        <f>'D14'!I18</f>
        <v>35</v>
      </c>
      <c r="M18" s="63">
        <f>'D15'!N18</f>
        <v>90</v>
      </c>
    </row>
    <row r="19" spans="1:13" x14ac:dyDescent="0.25">
      <c r="A19" s="60" t="s">
        <v>280</v>
      </c>
      <c r="B19" s="63">
        <f>'D1'!J19</f>
        <v>37</v>
      </c>
      <c r="C19" s="63">
        <f>'D3'!K19</f>
        <v>56</v>
      </c>
      <c r="D19" s="63">
        <f>'D4'!L19</f>
        <v>54</v>
      </c>
      <c r="E19" s="63">
        <f>'D5'!I19</f>
        <v>40</v>
      </c>
      <c r="F19" s="63">
        <f>'D6'!K19</f>
        <v>63</v>
      </c>
      <c r="G19" s="63">
        <f>'D7'!I19</f>
        <v>57</v>
      </c>
      <c r="H19" s="63">
        <f>'D9'!N19</f>
        <v>61</v>
      </c>
      <c r="I19" s="63">
        <f>'D11'!K19</f>
        <v>43</v>
      </c>
      <c r="J19" s="63">
        <f>'D12'!I19</f>
        <v>23</v>
      </c>
      <c r="K19" s="63">
        <f>'D13'!I19</f>
        <v>28</v>
      </c>
      <c r="L19" s="63">
        <f>'D14'!I19</f>
        <v>24</v>
      </c>
      <c r="M19" s="63">
        <f>'D15'!N19</f>
        <v>65</v>
      </c>
    </row>
    <row r="20" spans="1:13" x14ac:dyDescent="0.25">
      <c r="A20" s="30"/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</row>
    <row r="21" spans="1:13" ht="18.75" x14ac:dyDescent="0.25">
      <c r="A21" s="32" t="s">
        <v>281</v>
      </c>
      <c r="B21" s="64">
        <f>(SUM(B3:B13,B15:B19)/8)+B14</f>
        <v>121.125</v>
      </c>
      <c r="C21" s="64">
        <f>(SUM(C3:C13,C15:C19)/9)+C14</f>
        <v>130.33333333333331</v>
      </c>
      <c r="D21" s="64">
        <f>(SUM(D3:D13,D15:D19)/10)+D14</f>
        <v>151.6</v>
      </c>
      <c r="E21" s="64">
        <f>(SUM(E3:E13,E15:E19)/7)+E14</f>
        <v>130.14285714285714</v>
      </c>
      <c r="F21" s="64">
        <f>(SUM(F3:F13,F15:F19)/9)+F14</f>
        <v>163.55555555555554</v>
      </c>
      <c r="G21" s="64">
        <f>(SUM(G3:G13,G15:G19)/7)+G14</f>
        <v>175.42857142857142</v>
      </c>
      <c r="H21" s="64">
        <f>(SUM(H3:H13,H15:H19)/12)+H14</f>
        <v>127.83333333333333</v>
      </c>
      <c r="I21" s="64">
        <f>(SUM(I3:I13,I15:I19)/9)+I14</f>
        <v>131.66666666666669</v>
      </c>
      <c r="J21" s="64">
        <f>(SUM(J3:J13,J15:J19)/7)+J14</f>
        <v>117.96428571428571</v>
      </c>
      <c r="K21" s="64">
        <f>(SUM(K3:K13,K15:K19)/7)+K14</f>
        <v>127</v>
      </c>
      <c r="L21" s="64">
        <f>(SUM(L3:L13,L15:L19)/7)+L14</f>
        <v>114.57142857142857</v>
      </c>
      <c r="M21" s="64">
        <f>(SUM(M3:M13,M15:M19)/12)+M14</f>
        <v>146.75</v>
      </c>
    </row>
    <row r="22" spans="1:13" ht="18.75" customHeight="1" x14ac:dyDescent="0.25">
      <c r="A22" s="32" t="s">
        <v>282</v>
      </c>
      <c r="B22" s="147">
        <f>RANK(B21,$B$21:$M$21)</f>
        <v>10</v>
      </c>
      <c r="C22" s="147">
        <f t="shared" ref="C22:M22" si="0">RANK(C21,$B$21:$M$21)</f>
        <v>6</v>
      </c>
      <c r="D22" s="147">
        <f t="shared" si="0"/>
        <v>3</v>
      </c>
      <c r="E22" s="147">
        <f t="shared" si="0"/>
        <v>7</v>
      </c>
      <c r="F22" s="147">
        <f t="shared" si="0"/>
        <v>2</v>
      </c>
      <c r="G22" s="147">
        <f t="shared" si="0"/>
        <v>1</v>
      </c>
      <c r="H22" s="147">
        <f t="shared" si="0"/>
        <v>8</v>
      </c>
      <c r="I22" s="147">
        <f t="shared" si="0"/>
        <v>5</v>
      </c>
      <c r="J22" s="147">
        <f t="shared" si="0"/>
        <v>11</v>
      </c>
      <c r="K22" s="147">
        <f t="shared" si="0"/>
        <v>9</v>
      </c>
      <c r="L22" s="147">
        <f t="shared" si="0"/>
        <v>12</v>
      </c>
      <c r="M22" s="147">
        <f t="shared" si="0"/>
        <v>4</v>
      </c>
    </row>
    <row r="24" spans="1:13" ht="15" customHeight="1" x14ac:dyDescent="0.25">
      <c r="A24" s="345" t="s">
        <v>294</v>
      </c>
      <c r="B24" s="345"/>
      <c r="C24" s="345"/>
      <c r="D24" s="345"/>
      <c r="E24" s="345"/>
      <c r="F24" s="345"/>
      <c r="G24" s="345"/>
      <c r="H24" s="345"/>
      <c r="J24" s="346">
        <f>J26-0.01</f>
        <v>122.78999999999998</v>
      </c>
      <c r="K24" s="346"/>
      <c r="L24" s="346"/>
    </row>
    <row r="25" spans="1:13" x14ac:dyDescent="0.25">
      <c r="A25" s="345"/>
      <c r="B25" s="345"/>
      <c r="C25" s="345"/>
      <c r="D25" s="345"/>
      <c r="E25" s="345"/>
      <c r="F25" s="345"/>
      <c r="G25" s="345"/>
      <c r="H25" s="345"/>
      <c r="J25" s="346"/>
      <c r="K25" s="346"/>
      <c r="L25" s="346"/>
    </row>
    <row r="26" spans="1:13" ht="15" customHeight="1" x14ac:dyDescent="0.25">
      <c r="A26" s="345" t="s">
        <v>293</v>
      </c>
      <c r="B26" s="345"/>
      <c r="C26" s="345"/>
      <c r="D26" s="345"/>
      <c r="E26" s="345"/>
      <c r="F26" s="345"/>
      <c r="G26" s="345"/>
      <c r="H26" s="345"/>
      <c r="J26" s="347">
        <f>+G21*0.7</f>
        <v>122.79999999999998</v>
      </c>
      <c r="K26" s="347"/>
      <c r="L26" s="347"/>
    </row>
    <row r="27" spans="1:13" ht="15" customHeight="1" x14ac:dyDescent="0.25">
      <c r="A27" s="345"/>
      <c r="B27" s="345"/>
      <c r="C27" s="345"/>
      <c r="D27" s="345"/>
      <c r="E27" s="345"/>
      <c r="F27" s="345"/>
      <c r="G27" s="345"/>
      <c r="H27" s="345"/>
      <c r="J27" s="347"/>
      <c r="K27" s="347"/>
      <c r="L27" s="347"/>
    </row>
    <row r="28" spans="1:13" ht="15" customHeight="1" x14ac:dyDescent="0.25">
      <c r="A28" s="345" t="s">
        <v>288</v>
      </c>
      <c r="B28" s="345"/>
      <c r="C28" s="345"/>
      <c r="D28" s="345"/>
      <c r="E28" s="345"/>
      <c r="F28" s="345"/>
      <c r="G28" s="345"/>
      <c r="H28" s="345"/>
      <c r="J28" s="348">
        <f>+G21*0.75</f>
        <v>131.57142857142856</v>
      </c>
      <c r="K28" s="348"/>
      <c r="L28" s="348"/>
    </row>
    <row r="29" spans="1:13" x14ac:dyDescent="0.25">
      <c r="A29" s="345"/>
      <c r="B29" s="345"/>
      <c r="C29" s="345"/>
      <c r="D29" s="345"/>
      <c r="E29" s="345"/>
      <c r="F29" s="345"/>
      <c r="G29" s="345"/>
      <c r="H29" s="345"/>
      <c r="J29" s="348"/>
      <c r="K29" s="348"/>
      <c r="L29" s="348"/>
    </row>
  </sheetData>
  <mergeCells count="6">
    <mergeCell ref="A24:H25"/>
    <mergeCell ref="J24:L25"/>
    <mergeCell ref="A26:H27"/>
    <mergeCell ref="J26:L27"/>
    <mergeCell ref="A28:H29"/>
    <mergeCell ref="J28:L29"/>
  </mergeCells>
  <conditionalFormatting sqref="B21:M21">
    <cfRule type="cellIs" dxfId="39" priority="1" operator="lessThan">
      <formula>$J$24</formula>
    </cfRule>
    <cfRule type="cellIs" dxfId="38" priority="2" operator="between">
      <formula>$J$24</formula>
      <formula>$J$28</formula>
    </cfRule>
    <cfRule type="cellIs" dxfId="37" priority="3" operator="greaterThanOrEqual">
      <formula>$J$28</formula>
    </cfRule>
  </conditionalFormatting>
  <conditionalFormatting sqref="B22:M22">
    <cfRule type="cellIs" dxfId="36" priority="4" operator="between">
      <formula>$G$21*0.7</formula>
      <formula>$G$21*0.75</formula>
    </cfRule>
    <cfRule type="cellIs" dxfId="35" priority="5" operator="greaterThanOrEqual">
      <formula>$J$28</formula>
    </cfRule>
  </conditionalFormatting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D6459-07C5-4C94-BE16-DA0C71E6D882}">
  <sheetPr>
    <tabColor rgb="FFFFFF00"/>
  </sheetPr>
  <dimension ref="A1:F106"/>
  <sheetViews>
    <sheetView workbookViewId="0">
      <selection activeCell="BB133" sqref="BB133"/>
    </sheetView>
  </sheetViews>
  <sheetFormatPr defaultRowHeight="15" x14ac:dyDescent="0.25"/>
  <cols>
    <col min="1" max="1" width="15.7109375" bestFit="1" customWidth="1"/>
    <col min="2" max="2" width="11.7109375" style="303" bestFit="1" customWidth="1"/>
    <col min="3" max="3" width="11.5703125" bestFit="1" customWidth="1"/>
    <col min="4" max="4" width="12.5703125" style="145" customWidth="1"/>
    <col min="5" max="5" width="16.140625" bestFit="1" customWidth="1"/>
    <col min="6" max="6" width="19.85546875" bestFit="1" customWidth="1"/>
  </cols>
  <sheetData>
    <row r="1" spans="1:6" x14ac:dyDescent="0.25">
      <c r="A1" t="s">
        <v>267</v>
      </c>
      <c r="B1" s="303" t="s">
        <v>270</v>
      </c>
      <c r="C1" t="s">
        <v>647</v>
      </c>
      <c r="D1" s="145" t="s">
        <v>203</v>
      </c>
      <c r="E1" t="s">
        <v>648</v>
      </c>
      <c r="F1" t="s">
        <v>204</v>
      </c>
    </row>
    <row r="2" spans="1:6" x14ac:dyDescent="0.25">
      <c r="A2" s="108" t="s">
        <v>295</v>
      </c>
      <c r="B2" s="303">
        <v>3715</v>
      </c>
      <c r="C2" s="303">
        <v>1773</v>
      </c>
      <c r="D2" s="145">
        <v>400</v>
      </c>
      <c r="E2" s="344">
        <v>100</v>
      </c>
      <c r="F2" s="303">
        <v>50</v>
      </c>
    </row>
    <row r="3" spans="1:6" x14ac:dyDescent="0.25">
      <c r="A3" s="108" t="s">
        <v>387</v>
      </c>
      <c r="B3" s="303">
        <v>1925</v>
      </c>
      <c r="C3" s="303">
        <v>1051.6199999999999</v>
      </c>
      <c r="D3" s="145">
        <v>400</v>
      </c>
      <c r="E3" s="344">
        <v>200</v>
      </c>
      <c r="F3" s="303">
        <v>200</v>
      </c>
    </row>
    <row r="4" spans="1:6" x14ac:dyDescent="0.25">
      <c r="A4" s="108" t="s">
        <v>296</v>
      </c>
      <c r="B4" s="303">
        <v>501</v>
      </c>
      <c r="C4" s="303">
        <v>125</v>
      </c>
      <c r="D4" s="145">
        <v>100</v>
      </c>
      <c r="E4" s="344">
        <v>100</v>
      </c>
      <c r="F4" s="303">
        <v>125</v>
      </c>
    </row>
    <row r="5" spans="1:6" x14ac:dyDescent="0.25">
      <c r="A5" s="108" t="s">
        <v>297</v>
      </c>
      <c r="B5" s="303">
        <v>2400</v>
      </c>
      <c r="C5" s="303">
        <v>1200</v>
      </c>
      <c r="D5" s="145">
        <v>600</v>
      </c>
      <c r="E5" s="344">
        <v>1400</v>
      </c>
      <c r="F5" s="303">
        <v>300</v>
      </c>
    </row>
    <row r="6" spans="1:6" x14ac:dyDescent="0.25">
      <c r="A6" s="108" t="s">
        <v>298</v>
      </c>
      <c r="B6" s="303">
        <v>1315</v>
      </c>
      <c r="C6" s="303">
        <v>675</v>
      </c>
      <c r="D6" s="145">
        <v>50</v>
      </c>
      <c r="E6" s="344">
        <v>100</v>
      </c>
      <c r="F6" s="303">
        <v>50</v>
      </c>
    </row>
    <row r="7" spans="1:6" x14ac:dyDescent="0.25">
      <c r="A7" s="108" t="s">
        <v>299</v>
      </c>
      <c r="B7" s="303">
        <v>1170</v>
      </c>
      <c r="C7" s="303">
        <v>300</v>
      </c>
      <c r="D7" s="145">
        <v>200</v>
      </c>
      <c r="E7" s="344">
        <v>200</v>
      </c>
      <c r="F7" s="303">
        <v>50</v>
      </c>
    </row>
    <row r="8" spans="1:6" x14ac:dyDescent="0.25">
      <c r="A8" s="108" t="s">
        <v>300</v>
      </c>
      <c r="B8" s="303">
        <v>2400</v>
      </c>
      <c r="C8" s="303">
        <v>2667</v>
      </c>
      <c r="D8" s="145">
        <v>500</v>
      </c>
      <c r="E8" s="344">
        <v>500</v>
      </c>
      <c r="F8" s="303">
        <v>100</v>
      </c>
    </row>
    <row r="9" spans="1:6" x14ac:dyDescent="0.25">
      <c r="A9" s="108" t="s">
        <v>478</v>
      </c>
      <c r="B9" s="303">
        <v>829</v>
      </c>
      <c r="C9" s="303">
        <v>100</v>
      </c>
      <c r="D9" s="145">
        <v>0</v>
      </c>
      <c r="E9" s="344">
        <v>100</v>
      </c>
      <c r="F9" s="303">
        <v>0</v>
      </c>
    </row>
    <row r="10" spans="1:6" x14ac:dyDescent="0.25">
      <c r="A10" s="108" t="s">
        <v>383</v>
      </c>
      <c r="B10" s="303">
        <v>550.35</v>
      </c>
      <c r="C10" s="303">
        <v>0</v>
      </c>
      <c r="D10" s="145">
        <v>100</v>
      </c>
      <c r="E10" s="344">
        <v>100</v>
      </c>
      <c r="F10" s="303">
        <v>100</v>
      </c>
    </row>
    <row r="11" spans="1:6" x14ac:dyDescent="0.25">
      <c r="A11" s="108" t="s">
        <v>301</v>
      </c>
      <c r="B11" s="303">
        <v>3732</v>
      </c>
      <c r="C11" s="303">
        <v>1200</v>
      </c>
      <c r="D11" s="145">
        <v>300</v>
      </c>
      <c r="E11" s="344">
        <v>130</v>
      </c>
      <c r="F11" s="303">
        <v>625</v>
      </c>
    </row>
    <row r="12" spans="1:6" x14ac:dyDescent="0.25">
      <c r="A12" s="108" t="s">
        <v>302</v>
      </c>
      <c r="B12" s="303">
        <v>15154</v>
      </c>
      <c r="C12" s="303">
        <v>7000</v>
      </c>
      <c r="D12" s="145">
        <v>1500</v>
      </c>
      <c r="E12" s="344">
        <v>250</v>
      </c>
      <c r="F12" s="303">
        <v>800</v>
      </c>
    </row>
    <row r="13" spans="1:6" x14ac:dyDescent="0.25">
      <c r="A13" s="108" t="s">
        <v>303</v>
      </c>
      <c r="B13" s="303">
        <v>9026.59</v>
      </c>
      <c r="C13" s="303">
        <v>767</v>
      </c>
      <c r="D13" s="145">
        <v>250</v>
      </c>
      <c r="E13" s="344">
        <v>150</v>
      </c>
      <c r="F13" s="303">
        <v>650</v>
      </c>
    </row>
    <row r="14" spans="1:6" x14ac:dyDescent="0.25">
      <c r="A14" s="108" t="s">
        <v>304</v>
      </c>
      <c r="B14" s="303">
        <v>1110</v>
      </c>
      <c r="C14" s="303">
        <v>435</v>
      </c>
      <c r="D14" s="145">
        <v>95</v>
      </c>
      <c r="E14" s="344">
        <v>100</v>
      </c>
      <c r="F14" s="303">
        <v>0</v>
      </c>
    </row>
    <row r="15" spans="1:6" x14ac:dyDescent="0.25">
      <c r="A15" s="108" t="s">
        <v>305</v>
      </c>
      <c r="B15" s="303">
        <v>4378</v>
      </c>
      <c r="C15" s="303">
        <v>2177</v>
      </c>
      <c r="D15" s="145">
        <v>300</v>
      </c>
      <c r="E15" s="344">
        <v>100</v>
      </c>
      <c r="F15" s="303">
        <v>50</v>
      </c>
    </row>
    <row r="16" spans="1:6" x14ac:dyDescent="0.25">
      <c r="A16" s="108" t="s">
        <v>306</v>
      </c>
      <c r="B16" s="303">
        <v>643.70000000000005</v>
      </c>
      <c r="C16" s="303">
        <v>1785</v>
      </c>
      <c r="D16" s="145">
        <v>125</v>
      </c>
      <c r="E16" s="344">
        <v>100</v>
      </c>
      <c r="F16" s="303">
        <v>0</v>
      </c>
    </row>
    <row r="17" spans="1:6" x14ac:dyDescent="0.25">
      <c r="A17" s="108" t="s">
        <v>399</v>
      </c>
      <c r="B17" s="303">
        <v>5100</v>
      </c>
      <c r="C17" s="303">
        <v>300</v>
      </c>
      <c r="D17" s="145">
        <v>0</v>
      </c>
      <c r="E17" s="344">
        <v>0</v>
      </c>
      <c r="F17" s="303">
        <v>0</v>
      </c>
    </row>
    <row r="18" spans="1:6" x14ac:dyDescent="0.25">
      <c r="A18" s="108" t="s">
        <v>443</v>
      </c>
      <c r="B18" s="303">
        <v>485</v>
      </c>
      <c r="C18" s="303">
        <v>0</v>
      </c>
      <c r="D18" s="145">
        <v>0</v>
      </c>
      <c r="E18" s="344">
        <v>0</v>
      </c>
      <c r="F18" s="303">
        <v>0</v>
      </c>
    </row>
    <row r="19" spans="1:6" x14ac:dyDescent="0.25">
      <c r="A19" s="108" t="s">
        <v>307</v>
      </c>
      <c r="B19" s="303">
        <v>1700</v>
      </c>
      <c r="C19" s="303">
        <v>1700</v>
      </c>
      <c r="D19" s="145">
        <v>200</v>
      </c>
      <c r="E19" s="344">
        <v>500</v>
      </c>
      <c r="F19" s="303">
        <v>50</v>
      </c>
    </row>
    <row r="20" spans="1:6" x14ac:dyDescent="0.25">
      <c r="A20" s="108" t="s">
        <v>496</v>
      </c>
      <c r="B20" s="303">
        <v>322</v>
      </c>
      <c r="C20" s="303">
        <v>75</v>
      </c>
      <c r="D20" s="145">
        <v>50</v>
      </c>
      <c r="E20" s="344">
        <v>0</v>
      </c>
      <c r="F20" s="303">
        <v>0</v>
      </c>
    </row>
    <row r="21" spans="1:6" x14ac:dyDescent="0.25">
      <c r="A21" s="108" t="s">
        <v>308</v>
      </c>
      <c r="B21" s="303">
        <v>1965</v>
      </c>
      <c r="C21" s="303">
        <v>575</v>
      </c>
      <c r="D21" s="145">
        <v>100</v>
      </c>
      <c r="E21" s="344">
        <v>100</v>
      </c>
      <c r="F21" s="303">
        <v>300</v>
      </c>
    </row>
    <row r="22" spans="1:6" x14ac:dyDescent="0.25">
      <c r="A22" s="108" t="s">
        <v>309</v>
      </c>
      <c r="B22" s="303">
        <v>912</v>
      </c>
      <c r="C22" s="303">
        <v>950</v>
      </c>
      <c r="D22" s="145">
        <v>360</v>
      </c>
      <c r="E22" s="344">
        <v>300</v>
      </c>
      <c r="F22" s="303">
        <v>150</v>
      </c>
    </row>
    <row r="23" spans="1:6" x14ac:dyDescent="0.25">
      <c r="A23" s="108" t="s">
        <v>433</v>
      </c>
      <c r="B23" s="303">
        <v>2255.75</v>
      </c>
      <c r="C23" s="303">
        <v>518</v>
      </c>
      <c r="D23" s="145">
        <v>77.7</v>
      </c>
      <c r="E23" s="344">
        <v>100</v>
      </c>
      <c r="F23" s="303">
        <v>0</v>
      </c>
    </row>
    <row r="24" spans="1:6" x14ac:dyDescent="0.25">
      <c r="A24" s="108" t="s">
        <v>310</v>
      </c>
      <c r="B24" s="303">
        <v>9276</v>
      </c>
      <c r="C24" s="303">
        <v>4500</v>
      </c>
      <c r="D24" s="145">
        <v>1125</v>
      </c>
      <c r="E24" s="344">
        <v>1100</v>
      </c>
      <c r="F24" s="303">
        <v>0</v>
      </c>
    </row>
    <row r="25" spans="1:6" x14ac:dyDescent="0.25">
      <c r="A25" s="108" t="s">
        <v>311</v>
      </c>
      <c r="B25" s="303">
        <v>1091</v>
      </c>
      <c r="C25" s="303">
        <v>827</v>
      </c>
      <c r="D25" s="145">
        <v>250</v>
      </c>
      <c r="E25" s="344">
        <v>125</v>
      </c>
      <c r="F25" s="303">
        <v>500</v>
      </c>
    </row>
    <row r="26" spans="1:6" x14ac:dyDescent="0.25">
      <c r="A26" s="108" t="s">
        <v>312</v>
      </c>
      <c r="B26" s="303">
        <v>5483</v>
      </c>
      <c r="C26" s="303">
        <v>1400</v>
      </c>
      <c r="D26" s="145">
        <v>1300</v>
      </c>
      <c r="E26" s="344">
        <v>200</v>
      </c>
      <c r="F26" s="303">
        <v>100</v>
      </c>
    </row>
    <row r="27" spans="1:6" x14ac:dyDescent="0.25">
      <c r="A27" s="108" t="s">
        <v>313</v>
      </c>
      <c r="B27" s="303">
        <v>20879</v>
      </c>
      <c r="C27" s="303">
        <v>2670</v>
      </c>
      <c r="D27" s="145">
        <v>1000</v>
      </c>
      <c r="E27" s="344">
        <v>100</v>
      </c>
      <c r="F27" s="303">
        <v>0</v>
      </c>
    </row>
    <row r="28" spans="1:6" x14ac:dyDescent="0.25">
      <c r="A28" s="108" t="s">
        <v>455</v>
      </c>
      <c r="B28" s="303">
        <v>1608</v>
      </c>
      <c r="C28" s="303">
        <v>400</v>
      </c>
      <c r="D28" s="145">
        <v>0</v>
      </c>
      <c r="E28" s="344">
        <v>100</v>
      </c>
      <c r="F28" s="303">
        <v>50</v>
      </c>
    </row>
    <row r="29" spans="1:6" x14ac:dyDescent="0.25">
      <c r="A29" s="108" t="s">
        <v>314</v>
      </c>
      <c r="B29" s="303">
        <v>2944</v>
      </c>
      <c r="C29" s="303">
        <v>3690</v>
      </c>
      <c r="D29" s="145">
        <v>150</v>
      </c>
      <c r="E29" s="344">
        <v>150</v>
      </c>
      <c r="F29" s="303">
        <v>75</v>
      </c>
    </row>
    <row r="30" spans="1:6" x14ac:dyDescent="0.25">
      <c r="A30" s="108" t="s">
        <v>315</v>
      </c>
      <c r="B30" s="303">
        <v>11264</v>
      </c>
      <c r="C30" s="303">
        <v>3060</v>
      </c>
      <c r="D30" s="145">
        <v>600</v>
      </c>
      <c r="E30" s="344">
        <v>130</v>
      </c>
      <c r="F30" s="303">
        <v>601</v>
      </c>
    </row>
    <row r="31" spans="1:6" x14ac:dyDescent="0.25">
      <c r="A31" s="108" t="s">
        <v>397</v>
      </c>
      <c r="B31" s="303">
        <v>640</v>
      </c>
      <c r="C31" s="303">
        <v>352</v>
      </c>
      <c r="D31" s="145">
        <v>60</v>
      </c>
      <c r="E31" s="344">
        <v>100</v>
      </c>
      <c r="F31" s="303">
        <v>0</v>
      </c>
    </row>
    <row r="32" spans="1:6" x14ac:dyDescent="0.25">
      <c r="A32" s="108" t="s">
        <v>385</v>
      </c>
      <c r="B32" s="303">
        <v>322</v>
      </c>
      <c r="C32" s="303">
        <v>1312</v>
      </c>
      <c r="D32" s="145">
        <v>0</v>
      </c>
      <c r="E32" s="344">
        <v>100</v>
      </c>
      <c r="F32" s="303">
        <v>50</v>
      </c>
    </row>
    <row r="33" spans="1:6" x14ac:dyDescent="0.25">
      <c r="A33" s="108" t="s">
        <v>429</v>
      </c>
      <c r="B33" s="303">
        <v>7757</v>
      </c>
      <c r="C33" s="303">
        <v>500</v>
      </c>
      <c r="D33" s="145">
        <v>300</v>
      </c>
      <c r="E33" s="344">
        <v>100</v>
      </c>
      <c r="F33" s="303">
        <v>250</v>
      </c>
    </row>
    <row r="34" spans="1:6" x14ac:dyDescent="0.25">
      <c r="A34" s="108" t="s">
        <v>316</v>
      </c>
      <c r="B34" s="303">
        <v>1282</v>
      </c>
      <c r="C34" s="303">
        <v>296</v>
      </c>
      <c r="D34" s="145">
        <v>50</v>
      </c>
      <c r="E34" s="344">
        <v>100</v>
      </c>
      <c r="F34" s="303">
        <v>50</v>
      </c>
    </row>
    <row r="35" spans="1:6" x14ac:dyDescent="0.25">
      <c r="A35" s="108" t="s">
        <v>317</v>
      </c>
      <c r="B35" s="303">
        <v>12128.25</v>
      </c>
      <c r="C35" s="303">
        <v>3823</v>
      </c>
      <c r="D35" s="145">
        <v>500</v>
      </c>
      <c r="E35" s="344">
        <v>600</v>
      </c>
      <c r="F35" s="303">
        <v>625</v>
      </c>
    </row>
    <row r="36" spans="1:6" x14ac:dyDescent="0.25">
      <c r="A36" s="108" t="s">
        <v>318</v>
      </c>
      <c r="B36" s="303">
        <v>5332</v>
      </c>
      <c r="C36" s="303">
        <v>925</v>
      </c>
      <c r="D36" s="145">
        <v>215</v>
      </c>
      <c r="E36" s="344">
        <v>126</v>
      </c>
      <c r="F36" s="303">
        <v>602</v>
      </c>
    </row>
    <row r="37" spans="1:6" x14ac:dyDescent="0.25">
      <c r="A37" s="108" t="s">
        <v>319</v>
      </c>
      <c r="B37" s="303">
        <v>934</v>
      </c>
      <c r="C37" s="303">
        <v>997</v>
      </c>
      <c r="D37" s="145">
        <v>0</v>
      </c>
      <c r="E37" s="344">
        <v>100</v>
      </c>
      <c r="F37" s="303">
        <v>100</v>
      </c>
    </row>
    <row r="38" spans="1:6" x14ac:dyDescent="0.25">
      <c r="A38" s="108" t="s">
        <v>320</v>
      </c>
      <c r="B38" s="303">
        <v>5961</v>
      </c>
      <c r="C38" s="303">
        <v>4900</v>
      </c>
      <c r="D38" s="145">
        <v>2500</v>
      </c>
      <c r="E38" s="344">
        <v>800</v>
      </c>
      <c r="F38" s="303">
        <v>0</v>
      </c>
    </row>
    <row r="39" spans="1:6" x14ac:dyDescent="0.25">
      <c r="A39" s="108" t="s">
        <v>321</v>
      </c>
      <c r="B39" s="303">
        <v>1125</v>
      </c>
      <c r="C39" s="303">
        <v>460</v>
      </c>
      <c r="D39" s="145">
        <v>100</v>
      </c>
      <c r="E39" s="344">
        <v>100</v>
      </c>
      <c r="F39" s="303">
        <v>701</v>
      </c>
    </row>
    <row r="40" spans="1:6" x14ac:dyDescent="0.25">
      <c r="A40" s="108" t="s">
        <v>434</v>
      </c>
      <c r="B40" s="303">
        <v>4348.24</v>
      </c>
      <c r="C40" s="303">
        <v>1000.5</v>
      </c>
      <c r="D40" s="145">
        <v>200</v>
      </c>
      <c r="E40" s="344">
        <v>100</v>
      </c>
      <c r="F40" s="303">
        <v>0</v>
      </c>
    </row>
    <row r="41" spans="1:6" x14ac:dyDescent="0.25">
      <c r="A41" s="108" t="s">
        <v>322</v>
      </c>
      <c r="B41" s="303">
        <v>1217</v>
      </c>
      <c r="C41" s="303">
        <v>0</v>
      </c>
      <c r="D41" s="145">
        <v>400</v>
      </c>
      <c r="E41" s="344">
        <v>0</v>
      </c>
      <c r="F41" s="303">
        <v>0</v>
      </c>
    </row>
    <row r="42" spans="1:6" x14ac:dyDescent="0.25">
      <c r="A42" s="108" t="s">
        <v>323</v>
      </c>
      <c r="B42" s="303">
        <v>2400.87</v>
      </c>
      <c r="C42" s="303">
        <v>1418</v>
      </c>
      <c r="D42" s="145">
        <v>212.7</v>
      </c>
      <c r="E42" s="344">
        <v>100</v>
      </c>
      <c r="F42" s="303">
        <v>625</v>
      </c>
    </row>
    <row r="43" spans="1:6" x14ac:dyDescent="0.25">
      <c r="A43" s="108" t="s">
        <v>324</v>
      </c>
      <c r="B43" s="303">
        <v>1692</v>
      </c>
      <c r="C43" s="303">
        <v>479</v>
      </c>
      <c r="D43" s="145">
        <v>1095</v>
      </c>
      <c r="E43" s="344">
        <v>380</v>
      </c>
      <c r="F43" s="303">
        <v>0</v>
      </c>
    </row>
    <row r="44" spans="1:6" x14ac:dyDescent="0.25">
      <c r="A44" s="108" t="s">
        <v>325</v>
      </c>
      <c r="B44" s="303">
        <v>1564</v>
      </c>
      <c r="C44" s="303">
        <v>1763</v>
      </c>
      <c r="D44" s="145">
        <v>250</v>
      </c>
      <c r="E44" s="344">
        <v>100</v>
      </c>
      <c r="F44" s="303">
        <v>100</v>
      </c>
    </row>
    <row r="45" spans="1:6" x14ac:dyDescent="0.25">
      <c r="A45" s="108" t="s">
        <v>326</v>
      </c>
      <c r="B45" s="303">
        <v>6677</v>
      </c>
      <c r="C45" s="303">
        <v>1300</v>
      </c>
      <c r="D45" s="145">
        <v>250</v>
      </c>
      <c r="E45" s="344">
        <v>350</v>
      </c>
      <c r="F45" s="303">
        <v>100</v>
      </c>
    </row>
    <row r="46" spans="1:6" x14ac:dyDescent="0.25">
      <c r="A46" s="108" t="s">
        <v>416</v>
      </c>
      <c r="B46" s="303">
        <v>6339</v>
      </c>
      <c r="C46" s="303">
        <v>1508.3</v>
      </c>
      <c r="D46" s="145">
        <v>1200</v>
      </c>
      <c r="E46" s="344">
        <v>125</v>
      </c>
      <c r="F46" s="303">
        <v>750</v>
      </c>
    </row>
    <row r="47" spans="1:6" x14ac:dyDescent="0.25">
      <c r="A47" s="108" t="s">
        <v>327</v>
      </c>
      <c r="B47" s="303">
        <v>2122</v>
      </c>
      <c r="C47" s="303">
        <v>100</v>
      </c>
      <c r="D47" s="145">
        <v>100</v>
      </c>
      <c r="E47" s="344">
        <v>100</v>
      </c>
      <c r="F47" s="303">
        <v>200</v>
      </c>
    </row>
    <row r="48" spans="1:6" x14ac:dyDescent="0.25">
      <c r="A48" s="108" t="s">
        <v>328</v>
      </c>
      <c r="B48" s="303">
        <v>4324</v>
      </c>
      <c r="C48" s="303">
        <v>2130</v>
      </c>
      <c r="D48" s="145">
        <v>200</v>
      </c>
      <c r="E48" s="344">
        <v>126</v>
      </c>
      <c r="F48" s="303">
        <v>600.75</v>
      </c>
    </row>
    <row r="49" spans="1:6" x14ac:dyDescent="0.25">
      <c r="A49" s="108" t="s">
        <v>329</v>
      </c>
      <c r="B49" s="303">
        <v>480</v>
      </c>
      <c r="C49" s="303">
        <v>790</v>
      </c>
      <c r="D49" s="145">
        <v>60</v>
      </c>
      <c r="E49" s="344">
        <v>100</v>
      </c>
      <c r="F49" s="303">
        <v>100</v>
      </c>
    </row>
    <row r="50" spans="1:6" x14ac:dyDescent="0.25">
      <c r="A50" s="108" t="s">
        <v>330</v>
      </c>
      <c r="B50" s="303">
        <v>900</v>
      </c>
      <c r="C50" s="303">
        <v>0</v>
      </c>
      <c r="D50" s="145">
        <v>0</v>
      </c>
      <c r="E50" s="344">
        <v>0</v>
      </c>
      <c r="F50" s="303">
        <v>0</v>
      </c>
    </row>
    <row r="51" spans="1:6" x14ac:dyDescent="0.25">
      <c r="A51" s="108" t="s">
        <v>331</v>
      </c>
      <c r="B51" s="303">
        <v>2509</v>
      </c>
      <c r="C51" s="303">
        <v>2800</v>
      </c>
      <c r="D51" s="145">
        <v>2000</v>
      </c>
      <c r="E51" s="344">
        <v>200</v>
      </c>
      <c r="F51" s="303">
        <v>50</v>
      </c>
    </row>
    <row r="52" spans="1:6" x14ac:dyDescent="0.25">
      <c r="A52" s="108" t="s">
        <v>402</v>
      </c>
      <c r="B52" s="303">
        <v>2745</v>
      </c>
      <c r="C52" s="303">
        <v>621</v>
      </c>
      <c r="D52" s="145">
        <v>300</v>
      </c>
      <c r="E52" s="344">
        <v>100</v>
      </c>
      <c r="F52" s="303">
        <v>200</v>
      </c>
    </row>
    <row r="53" spans="1:6" x14ac:dyDescent="0.25">
      <c r="A53" s="108" t="s">
        <v>480</v>
      </c>
      <c r="B53" s="303">
        <v>204</v>
      </c>
      <c r="C53" s="303">
        <v>200</v>
      </c>
      <c r="D53" s="145">
        <v>0</v>
      </c>
      <c r="E53" s="344">
        <v>150</v>
      </c>
      <c r="F53" s="303">
        <v>50</v>
      </c>
    </row>
    <row r="54" spans="1:6" x14ac:dyDescent="0.25">
      <c r="A54" s="108" t="s">
        <v>406</v>
      </c>
      <c r="B54" s="303">
        <v>2675</v>
      </c>
      <c r="C54" s="303">
        <v>700</v>
      </c>
      <c r="D54" s="145">
        <v>0</v>
      </c>
      <c r="E54" s="344">
        <v>100</v>
      </c>
      <c r="F54" s="303">
        <v>50</v>
      </c>
    </row>
    <row r="55" spans="1:6" x14ac:dyDescent="0.25">
      <c r="A55" s="108" t="s">
        <v>332</v>
      </c>
      <c r="B55" s="303">
        <v>21191</v>
      </c>
      <c r="C55" s="303">
        <v>14000</v>
      </c>
      <c r="D55" s="145">
        <v>4900</v>
      </c>
      <c r="E55" s="344">
        <v>3000</v>
      </c>
      <c r="F55" s="303">
        <v>2300</v>
      </c>
    </row>
    <row r="56" spans="1:6" x14ac:dyDescent="0.25">
      <c r="A56" s="108" t="s">
        <v>333</v>
      </c>
      <c r="B56" s="303">
        <v>1215</v>
      </c>
      <c r="C56" s="303">
        <v>1515</v>
      </c>
      <c r="D56" s="145">
        <v>100</v>
      </c>
      <c r="E56" s="344">
        <v>100</v>
      </c>
      <c r="F56" s="303">
        <v>0</v>
      </c>
    </row>
    <row r="57" spans="1:6" x14ac:dyDescent="0.25">
      <c r="A57" s="108" t="s">
        <v>500</v>
      </c>
      <c r="B57" s="303">
        <v>795</v>
      </c>
      <c r="C57" s="303">
        <v>156</v>
      </c>
      <c r="D57" s="145">
        <v>82</v>
      </c>
      <c r="E57" s="344">
        <v>100</v>
      </c>
      <c r="F57" s="303">
        <v>50</v>
      </c>
    </row>
    <row r="58" spans="1:6" x14ac:dyDescent="0.25">
      <c r="A58" s="108" t="s">
        <v>498</v>
      </c>
      <c r="B58" s="303">
        <v>1338</v>
      </c>
      <c r="C58" s="303">
        <v>2631</v>
      </c>
      <c r="D58" s="145">
        <v>150</v>
      </c>
      <c r="E58" s="344">
        <v>0</v>
      </c>
      <c r="F58" s="303">
        <v>0</v>
      </c>
    </row>
    <row r="59" spans="1:6" x14ac:dyDescent="0.25">
      <c r="A59" s="108" t="s">
        <v>334</v>
      </c>
      <c r="B59" s="303">
        <v>722</v>
      </c>
      <c r="C59" s="303">
        <v>150</v>
      </c>
      <c r="D59" s="145">
        <v>0</v>
      </c>
      <c r="E59" s="344">
        <v>100</v>
      </c>
      <c r="F59" s="303">
        <v>50</v>
      </c>
    </row>
    <row r="60" spans="1:6" x14ac:dyDescent="0.25">
      <c r="A60" s="108" t="s">
        <v>335</v>
      </c>
      <c r="B60" s="303">
        <v>3069</v>
      </c>
      <c r="C60" s="303">
        <v>1450</v>
      </c>
      <c r="D60" s="145">
        <v>1000</v>
      </c>
      <c r="E60" s="344">
        <v>200</v>
      </c>
      <c r="F60" s="303">
        <v>100</v>
      </c>
    </row>
    <row r="61" spans="1:6" x14ac:dyDescent="0.25">
      <c r="A61" s="108" t="s">
        <v>336</v>
      </c>
      <c r="B61" s="303">
        <v>7517</v>
      </c>
      <c r="C61" s="303">
        <v>0</v>
      </c>
      <c r="D61" s="145">
        <v>1900</v>
      </c>
      <c r="E61" s="344">
        <v>400</v>
      </c>
      <c r="F61" s="303">
        <v>650</v>
      </c>
    </row>
    <row r="62" spans="1:6" x14ac:dyDescent="0.25">
      <c r="A62" s="108" t="s">
        <v>337</v>
      </c>
      <c r="B62" s="303">
        <v>2237</v>
      </c>
      <c r="C62" s="303">
        <v>936</v>
      </c>
      <c r="D62" s="145">
        <v>550</v>
      </c>
      <c r="E62" s="344">
        <v>300</v>
      </c>
      <c r="F62" s="303">
        <v>50</v>
      </c>
    </row>
    <row r="63" spans="1:6" x14ac:dyDescent="0.25">
      <c r="A63" s="108" t="s">
        <v>338</v>
      </c>
      <c r="B63" s="303">
        <v>5332.21</v>
      </c>
      <c r="C63" s="303">
        <v>12500</v>
      </c>
      <c r="D63" s="145">
        <v>800</v>
      </c>
      <c r="E63" s="344">
        <v>250</v>
      </c>
      <c r="F63" s="303">
        <v>601</v>
      </c>
    </row>
    <row r="64" spans="1:6" x14ac:dyDescent="0.25">
      <c r="A64" s="108" t="s">
        <v>339</v>
      </c>
      <c r="B64" s="303">
        <v>1930.35</v>
      </c>
      <c r="C64" s="303">
        <v>0</v>
      </c>
      <c r="D64" s="145">
        <v>191</v>
      </c>
      <c r="E64" s="344">
        <v>136</v>
      </c>
      <c r="F64" s="303">
        <v>0</v>
      </c>
    </row>
    <row r="65" spans="1:6" x14ac:dyDescent="0.25">
      <c r="A65" s="108" t="s">
        <v>340</v>
      </c>
      <c r="B65" s="303">
        <v>10819</v>
      </c>
      <c r="C65" s="303">
        <v>2227.67</v>
      </c>
      <c r="D65" s="145">
        <v>500</v>
      </c>
      <c r="E65" s="344">
        <v>300</v>
      </c>
      <c r="F65" s="303">
        <v>700</v>
      </c>
    </row>
    <row r="66" spans="1:6" x14ac:dyDescent="0.25">
      <c r="A66" s="108" t="s">
        <v>341</v>
      </c>
      <c r="B66" s="303">
        <v>1300</v>
      </c>
      <c r="C66" s="303">
        <v>1150</v>
      </c>
      <c r="D66" s="145">
        <v>800</v>
      </c>
      <c r="E66" s="344">
        <v>100</v>
      </c>
      <c r="F66" s="303">
        <v>0</v>
      </c>
    </row>
    <row r="67" spans="1:6" x14ac:dyDescent="0.25">
      <c r="A67" s="108" t="s">
        <v>342</v>
      </c>
      <c r="B67" s="303">
        <v>325</v>
      </c>
      <c r="C67" s="303">
        <v>553</v>
      </c>
      <c r="D67" s="145">
        <v>200</v>
      </c>
      <c r="E67" s="344">
        <v>100</v>
      </c>
      <c r="F67" s="303">
        <v>100</v>
      </c>
    </row>
    <row r="68" spans="1:6" x14ac:dyDescent="0.25">
      <c r="A68" s="108" t="s">
        <v>343</v>
      </c>
      <c r="B68" s="303">
        <v>185</v>
      </c>
      <c r="C68" s="303">
        <v>400</v>
      </c>
      <c r="D68" s="145">
        <v>50</v>
      </c>
      <c r="E68" s="344">
        <v>125</v>
      </c>
      <c r="F68" s="303">
        <v>100</v>
      </c>
    </row>
    <row r="69" spans="1:6" x14ac:dyDescent="0.25">
      <c r="A69" s="108" t="s">
        <v>344</v>
      </c>
      <c r="B69" s="303">
        <v>2399.2199999999998</v>
      </c>
      <c r="C69" s="303">
        <v>701</v>
      </c>
      <c r="D69" s="145">
        <v>105.15</v>
      </c>
      <c r="E69" s="344">
        <v>100</v>
      </c>
      <c r="F69" s="303">
        <v>50</v>
      </c>
    </row>
    <row r="70" spans="1:6" x14ac:dyDescent="0.25">
      <c r="A70" s="108" t="s">
        <v>504</v>
      </c>
      <c r="B70" s="303">
        <v>4847</v>
      </c>
      <c r="C70" s="303">
        <v>1491</v>
      </c>
      <c r="D70" s="145">
        <v>1000</v>
      </c>
      <c r="E70" s="344">
        <v>100</v>
      </c>
      <c r="F70" s="303">
        <v>0</v>
      </c>
    </row>
    <row r="71" spans="1:6" x14ac:dyDescent="0.25">
      <c r="A71" s="108" t="s">
        <v>345</v>
      </c>
      <c r="B71" s="303">
        <v>7942.79</v>
      </c>
      <c r="C71" s="303">
        <v>2100</v>
      </c>
      <c r="D71" s="145">
        <v>2000</v>
      </c>
      <c r="E71" s="344">
        <v>250</v>
      </c>
      <c r="F71" s="303">
        <v>1100</v>
      </c>
    </row>
    <row r="72" spans="1:6" x14ac:dyDescent="0.25">
      <c r="A72" s="108" t="s">
        <v>413</v>
      </c>
      <c r="B72" s="303">
        <v>690</v>
      </c>
      <c r="C72" s="303">
        <v>50</v>
      </c>
      <c r="D72" s="145">
        <v>0</v>
      </c>
      <c r="E72" s="344">
        <v>0</v>
      </c>
      <c r="F72" s="303">
        <v>0</v>
      </c>
    </row>
    <row r="73" spans="1:6" x14ac:dyDescent="0.25">
      <c r="A73" s="108" t="s">
        <v>450</v>
      </c>
      <c r="B73" s="303">
        <v>889</v>
      </c>
      <c r="C73" s="303">
        <v>0</v>
      </c>
      <c r="D73" s="145">
        <v>0</v>
      </c>
      <c r="E73" s="344">
        <v>0</v>
      </c>
      <c r="F73" s="303">
        <v>0</v>
      </c>
    </row>
    <row r="74" spans="1:6" x14ac:dyDescent="0.25">
      <c r="A74" s="108" t="s">
        <v>346</v>
      </c>
      <c r="B74" s="303">
        <v>7112</v>
      </c>
      <c r="C74" s="303">
        <v>600</v>
      </c>
      <c r="D74" s="145">
        <v>100</v>
      </c>
      <c r="E74" s="344">
        <v>100</v>
      </c>
      <c r="F74" s="303">
        <v>50</v>
      </c>
    </row>
    <row r="75" spans="1:6" x14ac:dyDescent="0.25">
      <c r="A75" s="108" t="s">
        <v>347</v>
      </c>
      <c r="B75" s="303">
        <v>1092</v>
      </c>
      <c r="C75" s="303">
        <v>600</v>
      </c>
      <c r="D75" s="145">
        <v>1300</v>
      </c>
      <c r="E75" s="344">
        <v>200</v>
      </c>
      <c r="F75" s="303">
        <v>700</v>
      </c>
    </row>
    <row r="76" spans="1:6" x14ac:dyDescent="0.25">
      <c r="A76" s="108" t="s">
        <v>348</v>
      </c>
      <c r="B76" s="303">
        <v>5110</v>
      </c>
      <c r="C76" s="303">
        <v>1000</v>
      </c>
      <c r="D76" s="145">
        <v>200</v>
      </c>
      <c r="E76" s="344">
        <v>200</v>
      </c>
      <c r="F76" s="303">
        <v>0</v>
      </c>
    </row>
    <row r="77" spans="1:6" x14ac:dyDescent="0.25">
      <c r="A77" s="108" t="s">
        <v>471</v>
      </c>
      <c r="B77" s="303">
        <v>246</v>
      </c>
      <c r="C77" s="303">
        <v>1329</v>
      </c>
      <c r="D77" s="145">
        <v>0</v>
      </c>
      <c r="E77" s="344">
        <v>100</v>
      </c>
      <c r="F77" s="303">
        <v>100</v>
      </c>
    </row>
    <row r="78" spans="1:6" x14ac:dyDescent="0.25">
      <c r="A78" s="108" t="s">
        <v>349</v>
      </c>
      <c r="B78" s="303">
        <v>2456</v>
      </c>
      <c r="C78" s="303">
        <v>1135</v>
      </c>
      <c r="D78" s="145">
        <v>275</v>
      </c>
      <c r="E78" s="344">
        <v>100</v>
      </c>
      <c r="F78" s="303">
        <v>250</v>
      </c>
    </row>
    <row r="79" spans="1:6" x14ac:dyDescent="0.25">
      <c r="A79" s="108" t="s">
        <v>350</v>
      </c>
      <c r="B79" s="303">
        <v>680</v>
      </c>
      <c r="C79" s="303">
        <v>444</v>
      </c>
      <c r="D79" s="145">
        <v>275</v>
      </c>
      <c r="E79" s="344">
        <v>100</v>
      </c>
      <c r="F79" s="303">
        <v>150</v>
      </c>
    </row>
    <row r="80" spans="1:6" x14ac:dyDescent="0.25">
      <c r="A80" s="108" t="s">
        <v>351</v>
      </c>
      <c r="B80" s="303">
        <v>4578</v>
      </c>
      <c r="C80" s="303">
        <v>5426</v>
      </c>
      <c r="D80" s="145">
        <v>600</v>
      </c>
      <c r="E80" s="344">
        <v>400</v>
      </c>
      <c r="F80" s="303">
        <v>400</v>
      </c>
    </row>
    <row r="81" spans="1:6" x14ac:dyDescent="0.25">
      <c r="A81" s="108" t="s">
        <v>352</v>
      </c>
      <c r="B81" s="303">
        <v>1906</v>
      </c>
      <c r="C81" s="303">
        <v>5216.24</v>
      </c>
      <c r="D81" s="145">
        <v>1000</v>
      </c>
      <c r="E81" s="344">
        <v>0</v>
      </c>
      <c r="F81" s="303">
        <v>0</v>
      </c>
    </row>
    <row r="82" spans="1:6" x14ac:dyDescent="0.25">
      <c r="A82" s="108" t="s">
        <v>353</v>
      </c>
      <c r="B82" s="303">
        <v>13830.68</v>
      </c>
      <c r="C82" s="303">
        <v>2200</v>
      </c>
      <c r="D82" s="145">
        <v>1000</v>
      </c>
      <c r="E82" s="344">
        <v>150</v>
      </c>
      <c r="F82" s="303">
        <v>1000</v>
      </c>
    </row>
    <row r="83" spans="1:6" x14ac:dyDescent="0.25">
      <c r="A83" s="108" t="s">
        <v>354</v>
      </c>
      <c r="B83" s="303">
        <v>939</v>
      </c>
      <c r="C83" s="303">
        <v>550</v>
      </c>
      <c r="D83" s="145">
        <v>50</v>
      </c>
      <c r="E83" s="344">
        <v>100</v>
      </c>
      <c r="F83" s="303">
        <v>50</v>
      </c>
    </row>
    <row r="84" spans="1:6" x14ac:dyDescent="0.25">
      <c r="A84" s="108" t="s">
        <v>411</v>
      </c>
      <c r="B84" s="303">
        <v>210.5</v>
      </c>
      <c r="C84" s="303">
        <v>0</v>
      </c>
      <c r="D84" s="145">
        <v>0</v>
      </c>
      <c r="E84" s="344">
        <v>0</v>
      </c>
      <c r="F84" s="303">
        <v>0</v>
      </c>
    </row>
    <row r="85" spans="1:6" x14ac:dyDescent="0.25">
      <c r="A85" s="108" t="s">
        <v>355</v>
      </c>
      <c r="B85" s="303">
        <v>4694.25</v>
      </c>
      <c r="C85" s="303">
        <v>4500</v>
      </c>
      <c r="D85" s="145">
        <v>1750</v>
      </c>
      <c r="E85" s="344">
        <v>1750</v>
      </c>
      <c r="F85" s="303">
        <v>1000</v>
      </c>
    </row>
    <row r="86" spans="1:6" x14ac:dyDescent="0.25">
      <c r="A86" s="108" t="s">
        <v>356</v>
      </c>
      <c r="B86" s="303">
        <v>6987</v>
      </c>
      <c r="C86" s="303">
        <v>375</v>
      </c>
      <c r="D86" s="145">
        <v>75</v>
      </c>
      <c r="E86" s="344">
        <v>130</v>
      </c>
      <c r="F86" s="303">
        <v>176</v>
      </c>
    </row>
    <row r="87" spans="1:6" x14ac:dyDescent="0.25">
      <c r="A87" s="108" t="s">
        <v>460</v>
      </c>
      <c r="B87" s="303">
        <v>703</v>
      </c>
      <c r="C87" s="303">
        <v>1302</v>
      </c>
      <c r="D87" s="145">
        <v>200</v>
      </c>
      <c r="E87" s="344">
        <v>100</v>
      </c>
      <c r="F87" s="303">
        <v>0</v>
      </c>
    </row>
    <row r="88" spans="1:6" x14ac:dyDescent="0.25">
      <c r="A88" s="108" t="s">
        <v>357</v>
      </c>
      <c r="B88" s="303">
        <v>668</v>
      </c>
      <c r="C88" s="303">
        <v>379</v>
      </c>
      <c r="D88" s="145">
        <v>200</v>
      </c>
      <c r="E88" s="344">
        <v>100</v>
      </c>
      <c r="F88" s="303">
        <v>100</v>
      </c>
    </row>
    <row r="89" spans="1:6" x14ac:dyDescent="0.25">
      <c r="A89" s="108" t="s">
        <v>358</v>
      </c>
      <c r="B89" s="303">
        <v>4198.74</v>
      </c>
      <c r="C89" s="303">
        <v>3416</v>
      </c>
      <c r="D89" s="145">
        <v>446.5</v>
      </c>
      <c r="E89" s="344">
        <v>100</v>
      </c>
      <c r="F89" s="303">
        <v>100</v>
      </c>
    </row>
    <row r="90" spans="1:6" x14ac:dyDescent="0.25">
      <c r="A90" s="108" t="s">
        <v>359</v>
      </c>
      <c r="B90" s="303">
        <v>1305</v>
      </c>
      <c r="C90" s="303">
        <v>544</v>
      </c>
      <c r="D90" s="145">
        <v>400</v>
      </c>
      <c r="E90" s="344">
        <v>100</v>
      </c>
      <c r="F90" s="303">
        <v>75</v>
      </c>
    </row>
    <row r="91" spans="1:6" x14ac:dyDescent="0.25">
      <c r="A91" s="108" t="s">
        <v>360</v>
      </c>
      <c r="B91" s="303">
        <v>494</v>
      </c>
      <c r="C91" s="303">
        <v>1362.5</v>
      </c>
      <c r="D91" s="145">
        <v>225</v>
      </c>
      <c r="E91" s="344">
        <v>100</v>
      </c>
      <c r="F91" s="303">
        <v>100</v>
      </c>
    </row>
    <row r="92" spans="1:6" x14ac:dyDescent="0.25">
      <c r="A92" s="108" t="s">
        <v>465</v>
      </c>
      <c r="B92" s="303">
        <v>395</v>
      </c>
      <c r="C92" s="303">
        <v>0</v>
      </c>
      <c r="D92" s="145">
        <v>0</v>
      </c>
      <c r="E92" s="344">
        <v>0</v>
      </c>
      <c r="F92" s="303">
        <v>0</v>
      </c>
    </row>
    <row r="93" spans="1:6" x14ac:dyDescent="0.25">
      <c r="A93" s="108" t="s">
        <v>361</v>
      </c>
      <c r="B93" s="303">
        <v>296</v>
      </c>
      <c r="C93" s="303">
        <v>0</v>
      </c>
      <c r="D93" s="145">
        <v>35</v>
      </c>
      <c r="E93" s="344">
        <v>126</v>
      </c>
      <c r="F93" s="303">
        <v>601</v>
      </c>
    </row>
    <row r="94" spans="1:6" x14ac:dyDescent="0.25">
      <c r="A94" s="108" t="s">
        <v>362</v>
      </c>
      <c r="B94" s="303">
        <v>788</v>
      </c>
      <c r="C94" s="303">
        <v>100</v>
      </c>
      <c r="D94" s="145">
        <v>35</v>
      </c>
      <c r="E94" s="344">
        <v>100</v>
      </c>
      <c r="F94" s="303">
        <v>0</v>
      </c>
    </row>
    <row r="95" spans="1:6" x14ac:dyDescent="0.25">
      <c r="A95" s="108" t="s">
        <v>363</v>
      </c>
      <c r="B95" s="303">
        <v>2750</v>
      </c>
      <c r="C95" s="303">
        <v>2300</v>
      </c>
      <c r="D95" s="145">
        <v>250</v>
      </c>
      <c r="E95" s="344">
        <v>100</v>
      </c>
      <c r="F95" s="303">
        <v>275</v>
      </c>
    </row>
    <row r="96" spans="1:6" x14ac:dyDescent="0.25">
      <c r="A96" s="108" t="s">
        <v>364</v>
      </c>
      <c r="B96" s="303">
        <v>1100</v>
      </c>
      <c r="C96" s="303">
        <v>400</v>
      </c>
      <c r="D96" s="145">
        <v>132.30000000000001</v>
      </c>
      <c r="E96" s="344">
        <v>0</v>
      </c>
      <c r="F96" s="303">
        <v>50</v>
      </c>
    </row>
    <row r="97" spans="1:6" x14ac:dyDescent="0.25">
      <c r="A97" s="108" t="s">
        <v>366</v>
      </c>
      <c r="B97" s="303">
        <v>2090.75</v>
      </c>
      <c r="C97" s="303">
        <v>200</v>
      </c>
      <c r="D97" s="145">
        <v>1400</v>
      </c>
      <c r="E97" s="344">
        <v>1600</v>
      </c>
      <c r="F97" s="303">
        <v>2900</v>
      </c>
    </row>
    <row r="98" spans="1:6" x14ac:dyDescent="0.25">
      <c r="A98" s="108" t="s">
        <v>365</v>
      </c>
      <c r="B98" s="303">
        <v>1316.45</v>
      </c>
      <c r="C98" s="303">
        <v>2400</v>
      </c>
      <c r="D98" s="145">
        <v>500</v>
      </c>
      <c r="E98" s="344">
        <v>100</v>
      </c>
      <c r="F98" s="303">
        <v>0</v>
      </c>
    </row>
    <row r="99" spans="1:6" x14ac:dyDescent="0.25">
      <c r="A99" s="108" t="s">
        <v>367</v>
      </c>
      <c r="B99" s="303">
        <v>2112</v>
      </c>
      <c r="C99" s="303">
        <v>675</v>
      </c>
      <c r="D99" s="145">
        <v>175</v>
      </c>
      <c r="E99" s="344">
        <v>130</v>
      </c>
      <c r="F99" s="303">
        <v>501</v>
      </c>
    </row>
    <row r="100" spans="1:6" x14ac:dyDescent="0.25">
      <c r="A100" s="108" t="s">
        <v>467</v>
      </c>
      <c r="B100" s="303">
        <v>126</v>
      </c>
      <c r="C100" s="303">
        <v>0</v>
      </c>
      <c r="D100" s="145">
        <v>16</v>
      </c>
      <c r="E100" s="344">
        <v>0</v>
      </c>
      <c r="F100" s="303">
        <v>0</v>
      </c>
    </row>
    <row r="101" spans="1:6" x14ac:dyDescent="0.25">
      <c r="A101" s="108" t="s">
        <v>375</v>
      </c>
      <c r="B101" s="303">
        <v>557</v>
      </c>
      <c r="C101" s="303">
        <v>0</v>
      </c>
      <c r="D101" s="145">
        <v>0</v>
      </c>
      <c r="E101" s="344">
        <v>0</v>
      </c>
      <c r="F101" s="303">
        <v>0</v>
      </c>
    </row>
    <row r="102" spans="1:6" x14ac:dyDescent="0.25">
      <c r="A102" s="108" t="s">
        <v>368</v>
      </c>
      <c r="B102" s="303">
        <v>6940</v>
      </c>
      <c r="C102" s="303">
        <v>2655</v>
      </c>
      <c r="D102" s="145">
        <v>300</v>
      </c>
      <c r="E102" s="344">
        <v>200</v>
      </c>
      <c r="F102" s="303">
        <v>701</v>
      </c>
    </row>
    <row r="103" spans="1:6" x14ac:dyDescent="0.25">
      <c r="A103" s="108" t="s">
        <v>474</v>
      </c>
      <c r="B103" s="303">
        <v>1830</v>
      </c>
      <c r="C103" s="303">
        <v>1150</v>
      </c>
      <c r="D103" s="145">
        <v>100</v>
      </c>
      <c r="E103" s="344">
        <v>0</v>
      </c>
      <c r="F103" s="303">
        <v>50</v>
      </c>
    </row>
    <row r="104" spans="1:6" x14ac:dyDescent="0.25">
      <c r="A104" s="108" t="s">
        <v>394</v>
      </c>
      <c r="B104" s="303">
        <v>371</v>
      </c>
      <c r="C104" s="303">
        <v>0</v>
      </c>
      <c r="D104" s="145">
        <v>0</v>
      </c>
      <c r="E104" s="344">
        <v>0</v>
      </c>
      <c r="F104" s="303">
        <v>0</v>
      </c>
    </row>
    <row r="105" spans="1:6" x14ac:dyDescent="0.25">
      <c r="A105" s="108" t="s">
        <v>369</v>
      </c>
      <c r="B105" s="303">
        <v>4741</v>
      </c>
      <c r="C105" s="303">
        <v>4531</v>
      </c>
      <c r="D105" s="145">
        <v>300</v>
      </c>
      <c r="E105" s="344">
        <v>200</v>
      </c>
      <c r="F105" s="303">
        <v>200</v>
      </c>
    </row>
    <row r="106" spans="1:6" x14ac:dyDescent="0.25">
      <c r="D106" s="145">
        <f>SUM(D2:D105)</f>
        <v>45793.350000000006</v>
      </c>
    </row>
  </sheetData>
  <sortState xmlns:xlrd2="http://schemas.microsoft.com/office/spreadsheetml/2017/richdata2" ref="A2:A105">
    <sortCondition ref="A2:A105"/>
  </sortState>
  <conditionalFormatting sqref="A2:A105">
    <cfRule type="cellIs" dxfId="77" priority="1" stopIfTrue="1" operator="equal">
      <formula>"GRAND TOTAL"</formula>
    </cfRule>
    <cfRule type="cellIs" dxfId="76" priority="2" stopIfTrue="1" operator="equal">
      <formula>"SUB TOTAL"</formula>
    </cfRule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E0A76-B9C9-463C-8574-8C3DD6BD9858}">
  <sheetPr>
    <tabColor rgb="FFFFFF00"/>
  </sheetPr>
  <dimension ref="A1:BK141"/>
  <sheetViews>
    <sheetView zoomScale="120" zoomScaleNormal="120" workbookViewId="0">
      <pane xSplit="1" ySplit="2" topLeftCell="B3" activePane="bottomRight" state="frozen"/>
      <selection activeCell="U141" sqref="U141"/>
      <selection pane="topRight" activeCell="U141" sqref="U141"/>
      <selection pane="bottomLeft" activeCell="U141" sqref="U141"/>
      <selection pane="bottomRight" activeCell="AL2" sqref="AL2"/>
    </sheetView>
  </sheetViews>
  <sheetFormatPr defaultRowHeight="15" x14ac:dyDescent="0.25"/>
  <cols>
    <col min="1" max="1" width="36" customWidth="1"/>
    <col min="2" max="2" width="11.7109375" customWidth="1"/>
    <col min="3" max="7" width="9.7109375" customWidth="1"/>
    <col min="8" max="8" width="5.140625" bestFit="1" customWidth="1"/>
    <col min="9" max="9" width="9.7109375" customWidth="1"/>
    <col min="10" max="10" width="4.7109375" customWidth="1"/>
    <col min="11" max="12" width="11.85546875" bestFit="1" customWidth="1"/>
    <col min="13" max="13" width="10.7109375" customWidth="1"/>
    <col min="14" max="14" width="10.42578125" style="99" customWidth="1"/>
    <col min="15" max="15" width="4.7109375" customWidth="1"/>
    <col min="16" max="16" width="11.85546875" customWidth="1"/>
    <col min="17" max="17" width="4.7109375" customWidth="1"/>
    <col min="18" max="18" width="11.140625" customWidth="1"/>
    <col min="19" max="19" width="12" customWidth="1"/>
    <col min="20" max="20" width="12.28515625" style="99" customWidth="1"/>
    <col min="21" max="21" width="14.5703125" customWidth="1"/>
    <col min="22" max="22" width="6.140625" bestFit="1" customWidth="1"/>
    <col min="23" max="23" width="10.5703125" customWidth="1"/>
    <col min="24" max="24" width="11.28515625" style="107" customWidth="1"/>
    <col min="25" max="25" width="11.42578125" customWidth="1"/>
    <col min="26" max="26" width="4.7109375" customWidth="1"/>
    <col min="27" max="28" width="9.5703125" customWidth="1"/>
    <col min="29" max="30" width="11" customWidth="1"/>
    <col min="33" max="34" width="9.28515625" customWidth="1"/>
    <col min="35" max="35" width="5.140625" bestFit="1" customWidth="1"/>
    <col min="36" max="36" width="15.7109375" customWidth="1"/>
    <col min="37" max="37" width="4.7109375" customWidth="1"/>
    <col min="38" max="38" width="15.7109375" customWidth="1"/>
    <col min="39" max="39" width="4.7109375" customWidth="1"/>
    <col min="40" max="40" width="12.7109375" customWidth="1"/>
    <col min="41" max="41" width="4.7109375" customWidth="1"/>
    <col min="42" max="42" width="12.7109375" customWidth="1"/>
    <col min="43" max="43" width="4.7109375" customWidth="1"/>
    <col min="44" max="46" width="11.7109375" customWidth="1"/>
    <col min="47" max="49" width="5.7109375" customWidth="1"/>
    <col min="50" max="50" width="10.7109375" customWidth="1"/>
    <col min="51" max="51" width="5.7109375" customWidth="1"/>
    <col min="52" max="52" width="41.140625" bestFit="1" customWidth="1"/>
    <col min="53" max="53" width="5.7109375" customWidth="1"/>
    <col min="54" max="54" width="10.7109375" customWidth="1"/>
    <col min="55" max="55" width="5.7109375" customWidth="1"/>
    <col min="56" max="58" width="8.7109375" customWidth="1"/>
    <col min="59" max="59" width="4.7109375" customWidth="1"/>
    <col min="60" max="62" width="8.7109375" customWidth="1"/>
    <col min="63" max="63" width="4.7109375" customWidth="1"/>
  </cols>
  <sheetData>
    <row r="1" spans="1:63" ht="51.75" customHeight="1" thickBot="1" x14ac:dyDescent="0.3">
      <c r="A1" s="360" t="str">
        <f>Ratings!A1</f>
        <v>District &amp; Lodge Ratings 2025-26
May 10, 2026</v>
      </c>
      <c r="B1" s="72" t="s">
        <v>145</v>
      </c>
      <c r="C1" s="365" t="s">
        <v>144</v>
      </c>
      <c r="D1" s="73" t="s">
        <v>143</v>
      </c>
      <c r="E1" s="364" t="s">
        <v>142</v>
      </c>
      <c r="F1" s="362"/>
      <c r="G1" s="363"/>
      <c r="H1" s="355" t="s">
        <v>135</v>
      </c>
      <c r="I1" s="312" t="s">
        <v>650</v>
      </c>
      <c r="J1" s="355" t="s">
        <v>135</v>
      </c>
      <c r="K1" s="357" t="s">
        <v>141</v>
      </c>
      <c r="L1" s="358"/>
      <c r="M1" s="358"/>
      <c r="N1" s="359"/>
      <c r="O1" s="355" t="s">
        <v>135</v>
      </c>
      <c r="P1" s="74" t="s">
        <v>140</v>
      </c>
      <c r="Q1" s="355" t="s">
        <v>135</v>
      </c>
      <c r="R1" s="357" t="str">
        <f>Ratings!R1</f>
        <v>PMA Capital Project
Uniting Hearts/Expanding Horizons</v>
      </c>
      <c r="S1" s="358"/>
      <c r="T1" s="358"/>
      <c r="U1" s="359"/>
      <c r="V1" s="355" t="s">
        <v>135</v>
      </c>
      <c r="W1" s="357" t="s">
        <v>627</v>
      </c>
      <c r="X1" s="358"/>
      <c r="Y1" s="359"/>
      <c r="Z1" s="355" t="s">
        <v>135</v>
      </c>
      <c r="AA1" s="364" t="s">
        <v>628</v>
      </c>
      <c r="AB1" s="362"/>
      <c r="AC1" s="362"/>
      <c r="AD1" s="362"/>
      <c r="AE1" s="362"/>
      <c r="AF1" s="362"/>
      <c r="AG1" s="362"/>
      <c r="AH1" s="363"/>
      <c r="AI1" s="355" t="s">
        <v>135</v>
      </c>
      <c r="AJ1" s="75" t="s">
        <v>666</v>
      </c>
      <c r="AK1" s="369" t="s">
        <v>135</v>
      </c>
      <c r="AL1" s="76" t="s">
        <v>630</v>
      </c>
      <c r="AM1" s="355" t="s">
        <v>135</v>
      </c>
      <c r="AN1" s="77" t="s">
        <v>139</v>
      </c>
      <c r="AO1" s="355" t="s">
        <v>135</v>
      </c>
      <c r="AP1" s="77" t="s">
        <v>138</v>
      </c>
      <c r="AQ1" s="355" t="s">
        <v>135</v>
      </c>
      <c r="AR1" s="372" t="str">
        <f>Ratings!AR1</f>
        <v>District Monthly Reports Cumulative              Sept. 2025 to Aug. 2026</v>
      </c>
      <c r="AS1" s="373"/>
      <c r="AT1" s="374"/>
      <c r="AU1" s="355" t="s">
        <v>135</v>
      </c>
      <c r="AV1" s="372" t="s">
        <v>137</v>
      </c>
      <c r="AW1" s="373"/>
      <c r="AX1" s="374"/>
      <c r="AY1" s="355" t="s">
        <v>135</v>
      </c>
      <c r="AZ1" s="78" t="s">
        <v>638</v>
      </c>
      <c r="BA1" s="377" t="s">
        <v>135</v>
      </c>
      <c r="BB1" s="79" t="s">
        <v>136</v>
      </c>
      <c r="BC1" s="355" t="s">
        <v>135</v>
      </c>
      <c r="BD1" s="372" t="s">
        <v>639</v>
      </c>
      <c r="BE1" s="373"/>
      <c r="BF1" s="374"/>
      <c r="BG1" s="355" t="s">
        <v>135</v>
      </c>
      <c r="BH1" s="372" t="s">
        <v>640</v>
      </c>
      <c r="BI1" s="373"/>
      <c r="BJ1" s="375"/>
      <c r="BK1" s="367" t="s">
        <v>135</v>
      </c>
    </row>
    <row r="2" spans="1:63" ht="37.5" customHeight="1" thickBot="1" x14ac:dyDescent="0.3">
      <c r="A2" s="361"/>
      <c r="B2" s="146" t="s">
        <v>528</v>
      </c>
      <c r="C2" s="366"/>
      <c r="D2" s="114" t="s">
        <v>549</v>
      </c>
      <c r="E2" s="80" t="str">
        <f>Ratings!E2</f>
        <v># on roll as of 4/30/2025</v>
      </c>
      <c r="F2" s="81" t="str">
        <f>Ratings!F2</f>
        <v># on roll as of   4/29/2026</v>
      </c>
      <c r="G2" s="82" t="s">
        <v>134</v>
      </c>
      <c r="H2" s="356"/>
      <c r="I2" s="337" t="str">
        <f>Ratings!I2</f>
        <v>% as of 4/29/2026</v>
      </c>
      <c r="J2" s="356"/>
      <c r="K2" s="83" t="str">
        <f>Ratings!K2</f>
        <v>Endowment 2024-25</v>
      </c>
      <c r="L2" s="83" t="str">
        <f>Ratings!L2</f>
        <v>$ Donated 2025/2026    3/31/2026</v>
      </c>
      <c r="M2" s="82" t="s">
        <v>132</v>
      </c>
      <c r="N2" s="96" t="s">
        <v>646</v>
      </c>
      <c r="O2" s="356"/>
      <c r="P2" s="84" t="s">
        <v>131</v>
      </c>
      <c r="Q2" s="356"/>
      <c r="R2" s="85" t="str">
        <f>Ratings!R2</f>
        <v>Total Commitment by 04/2028</v>
      </c>
      <c r="S2" s="83" t="str">
        <f>Ratings!S2</f>
        <v>$ Paid as of 3/31/26</v>
      </c>
      <c r="T2" s="96" t="s">
        <v>130</v>
      </c>
      <c r="U2" s="82" t="s">
        <v>129</v>
      </c>
      <c r="V2" s="356"/>
      <c r="W2" s="83" t="s">
        <v>291</v>
      </c>
      <c r="X2" s="106" t="str">
        <f>Ratings!X2</f>
        <v>Amount Contributed 3/12/2026</v>
      </c>
      <c r="Y2" s="83" t="s">
        <v>128</v>
      </c>
      <c r="Z2" s="356"/>
      <c r="AA2" s="83" t="str">
        <f>Ratings!AA2</f>
        <v>1st Quarter by 8/15/25</v>
      </c>
      <c r="AB2" s="100" t="s">
        <v>292</v>
      </c>
      <c r="AC2" s="83" t="str">
        <f>Ratings!AC2</f>
        <v>2nd Quarter by 11/15/25</v>
      </c>
      <c r="AD2" s="100" t="s">
        <v>292</v>
      </c>
      <c r="AE2" s="82" t="str">
        <f>Ratings!AE2</f>
        <v>3rd Quarter  by 2/15/26</v>
      </c>
      <c r="AF2" s="100" t="s">
        <v>292</v>
      </c>
      <c r="AG2" s="82" t="str">
        <f>Ratings!AG2</f>
        <v>4th Quarter by 5/15/26</v>
      </c>
      <c r="AH2" s="100" t="s">
        <v>292</v>
      </c>
      <c r="AI2" s="356"/>
      <c r="AJ2" s="86" t="str">
        <f>Ratings!AJ2</f>
        <v xml:space="preserve">All Officer &amp; Training Up to Date </v>
      </c>
      <c r="AK2" s="370"/>
      <c r="AL2" s="87" t="s">
        <v>127</v>
      </c>
      <c r="AM2" s="356"/>
      <c r="AN2" s="88">
        <f>Ratings!AN2</f>
        <v>46112</v>
      </c>
      <c r="AO2" s="356"/>
      <c r="AP2" s="89">
        <f>Ratings!AP2</f>
        <v>46120</v>
      </c>
      <c r="AQ2" s="356"/>
      <c r="AR2" s="90" t="s">
        <v>126</v>
      </c>
      <c r="AS2" s="90" t="s">
        <v>125</v>
      </c>
      <c r="AT2" s="90" t="s">
        <v>124</v>
      </c>
      <c r="AU2" s="376"/>
      <c r="AV2" s="91" t="s">
        <v>123</v>
      </c>
      <c r="AW2" s="92" t="s">
        <v>122</v>
      </c>
      <c r="AX2" s="93" t="s">
        <v>121</v>
      </c>
      <c r="AY2" s="356"/>
      <c r="AZ2" s="94" t="s">
        <v>120</v>
      </c>
      <c r="BA2" s="376"/>
      <c r="BB2" s="89" t="str">
        <f>Ratings!BB2</f>
        <v>As Of 
 4/8/26</v>
      </c>
      <c r="BC2" s="371"/>
      <c r="BD2" s="90" t="s">
        <v>119</v>
      </c>
      <c r="BE2" s="90" t="s">
        <v>118</v>
      </c>
      <c r="BF2" s="90" t="s">
        <v>117</v>
      </c>
      <c r="BG2" s="356"/>
      <c r="BH2" s="90" t="s">
        <v>119</v>
      </c>
      <c r="BI2" s="90" t="s">
        <v>118</v>
      </c>
      <c r="BJ2" s="95" t="s">
        <v>117</v>
      </c>
      <c r="BK2" s="368"/>
    </row>
    <row r="3" spans="1:63" ht="18.75" customHeight="1" x14ac:dyDescent="0.25">
      <c r="A3" s="326"/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23"/>
      <c r="O3" s="313"/>
      <c r="P3" s="327"/>
      <c r="Q3" s="313"/>
      <c r="R3" s="313"/>
      <c r="S3" s="313"/>
      <c r="T3" s="323"/>
      <c r="U3" s="313"/>
      <c r="V3" s="313"/>
      <c r="W3" s="313"/>
      <c r="X3" s="328"/>
      <c r="Y3" s="313"/>
      <c r="Z3" s="313"/>
      <c r="AA3" s="313"/>
      <c r="AB3" s="313"/>
      <c r="AC3" s="313"/>
      <c r="AD3" s="313"/>
      <c r="AE3" s="313"/>
      <c r="AF3" s="313"/>
      <c r="AG3" s="313"/>
      <c r="AH3" s="313"/>
      <c r="AI3" s="313"/>
      <c r="AJ3" s="327"/>
      <c r="AK3" s="327"/>
      <c r="AL3" s="313"/>
      <c r="AM3" s="313"/>
      <c r="AN3" s="313"/>
      <c r="AO3" s="313"/>
      <c r="AP3" s="313"/>
      <c r="AQ3" s="313"/>
      <c r="AR3" s="313"/>
      <c r="AS3" s="313"/>
      <c r="AT3" s="313"/>
      <c r="AU3" s="322"/>
      <c r="AV3" s="329"/>
      <c r="AW3" s="329"/>
      <c r="AX3" s="330"/>
      <c r="AY3" s="313"/>
      <c r="AZ3" s="313"/>
      <c r="BA3" s="313"/>
      <c r="BB3" s="331"/>
      <c r="BC3" s="327"/>
      <c r="BD3" s="313"/>
      <c r="BE3" s="313"/>
      <c r="BF3" s="313"/>
      <c r="BG3" s="313"/>
      <c r="BH3" s="313"/>
      <c r="BI3" s="313"/>
      <c r="BJ3" s="322"/>
      <c r="BK3" s="313"/>
    </row>
    <row r="4" spans="1:63" ht="15.75" customHeight="1" x14ac:dyDescent="0.25">
      <c r="A4" s="313"/>
      <c r="B4" s="313"/>
      <c r="C4" s="313"/>
      <c r="D4" s="313"/>
      <c r="E4" s="313"/>
      <c r="F4" s="322"/>
      <c r="G4" s="313"/>
      <c r="H4" s="313"/>
      <c r="I4" s="313"/>
      <c r="J4" s="313"/>
      <c r="K4" s="316"/>
      <c r="L4" s="316"/>
      <c r="M4" s="314"/>
      <c r="N4" s="315"/>
      <c r="O4" s="313"/>
      <c r="P4" s="316"/>
      <c r="Q4" s="313"/>
      <c r="R4" s="317"/>
      <c r="S4" s="317"/>
      <c r="T4" s="332"/>
      <c r="U4" s="318"/>
      <c r="V4" s="313"/>
      <c r="W4" s="317"/>
      <c r="X4" s="333"/>
      <c r="Y4" s="317"/>
      <c r="Z4" s="313"/>
      <c r="AA4" s="334"/>
      <c r="AB4" s="334"/>
      <c r="AC4" s="318"/>
      <c r="AD4" s="334"/>
      <c r="AE4" s="334"/>
      <c r="AF4" s="334"/>
      <c r="AG4" s="334"/>
      <c r="AH4" s="334"/>
      <c r="AI4" s="313"/>
      <c r="AJ4" s="320"/>
      <c r="AK4" s="313"/>
      <c r="AL4" s="334"/>
      <c r="AM4" s="335"/>
      <c r="AN4" s="318"/>
      <c r="AO4" s="335"/>
      <c r="AP4" s="317"/>
      <c r="AQ4" s="335"/>
      <c r="AR4" s="319"/>
      <c r="AS4" s="319"/>
      <c r="AT4" s="319"/>
      <c r="AU4" s="313"/>
      <c r="AV4" s="313"/>
      <c r="AW4" s="313"/>
      <c r="AX4" s="313"/>
      <c r="AY4" s="313"/>
      <c r="AZ4" s="320"/>
      <c r="BA4" s="313"/>
      <c r="BB4" s="317"/>
      <c r="BC4" s="313"/>
      <c r="BD4" s="313"/>
      <c r="BE4" s="313"/>
      <c r="BF4" s="313"/>
      <c r="BG4" s="313"/>
      <c r="BH4" s="313"/>
      <c r="BI4" s="313"/>
      <c r="BJ4" s="313"/>
      <c r="BK4" s="313"/>
    </row>
    <row r="5" spans="1:63" ht="15.75" x14ac:dyDescent="0.25">
      <c r="A5" s="313"/>
      <c r="B5" s="313"/>
      <c r="C5" s="313"/>
      <c r="D5" s="313"/>
      <c r="E5" s="313"/>
      <c r="F5" s="322"/>
      <c r="G5" s="313"/>
      <c r="H5" s="313"/>
      <c r="I5" s="313"/>
      <c r="J5" s="313"/>
      <c r="K5" s="316"/>
      <c r="L5" s="316"/>
      <c r="M5" s="314"/>
      <c r="N5" s="315"/>
      <c r="O5" s="313"/>
      <c r="P5" s="316"/>
      <c r="Q5" s="313"/>
      <c r="R5" s="317"/>
      <c r="S5" s="317"/>
      <c r="T5" s="332"/>
      <c r="U5" s="318"/>
      <c r="V5" s="313"/>
      <c r="W5" s="317"/>
      <c r="X5" s="324"/>
      <c r="Y5" s="317"/>
      <c r="Z5" s="313"/>
      <c r="AA5" s="334"/>
      <c r="AB5" s="334"/>
      <c r="AC5" s="318"/>
      <c r="AD5" s="334"/>
      <c r="AE5" s="318"/>
      <c r="AF5" s="334"/>
      <c r="AG5" s="318"/>
      <c r="AH5" s="334"/>
      <c r="AI5" s="313"/>
      <c r="AJ5" s="320"/>
      <c r="AK5" s="313"/>
      <c r="AL5" s="334"/>
      <c r="AM5" s="335"/>
      <c r="AN5" s="318"/>
      <c r="AO5" s="335"/>
      <c r="AP5" s="317"/>
      <c r="AQ5" s="335"/>
      <c r="AR5" s="319"/>
      <c r="AS5" s="319"/>
      <c r="AT5" s="319"/>
      <c r="AU5" s="313"/>
      <c r="AV5" s="313"/>
      <c r="AW5" s="313"/>
      <c r="AX5" s="313"/>
      <c r="AY5" s="313"/>
      <c r="AZ5" s="320"/>
      <c r="BA5" s="313"/>
      <c r="BB5" s="317"/>
      <c r="BC5" s="313"/>
      <c r="BD5" s="313"/>
      <c r="BE5" s="313"/>
      <c r="BF5" s="313"/>
      <c r="BG5" s="313"/>
      <c r="BH5" s="313"/>
      <c r="BI5" s="313"/>
      <c r="BJ5" s="313"/>
      <c r="BK5" s="313"/>
    </row>
    <row r="6" spans="1:63" ht="15.75" x14ac:dyDescent="0.25">
      <c r="A6" s="313"/>
      <c r="B6" s="313"/>
      <c r="C6" s="313"/>
      <c r="D6" s="313"/>
      <c r="E6" s="313"/>
      <c r="F6" s="322"/>
      <c r="G6" s="313"/>
      <c r="H6" s="313"/>
      <c r="I6" s="313"/>
      <c r="J6" s="313"/>
      <c r="K6" s="316"/>
      <c r="L6" s="316"/>
      <c r="M6" s="314"/>
      <c r="N6" s="315"/>
      <c r="O6" s="313"/>
      <c r="P6" s="316"/>
      <c r="Q6" s="313"/>
      <c r="R6" s="317"/>
      <c r="S6" s="317"/>
      <c r="T6" s="332"/>
      <c r="U6" s="318"/>
      <c r="V6" s="313"/>
      <c r="W6" s="317"/>
      <c r="X6" s="333"/>
      <c r="Y6" s="317"/>
      <c r="Z6" s="313"/>
      <c r="AA6" s="334"/>
      <c r="AB6" s="334"/>
      <c r="AC6" s="318"/>
      <c r="AD6" s="334"/>
      <c r="AE6" s="318"/>
      <c r="AF6" s="334"/>
      <c r="AG6" s="318"/>
      <c r="AH6" s="334"/>
      <c r="AI6" s="313"/>
      <c r="AJ6" s="320"/>
      <c r="AK6" s="313"/>
      <c r="AL6" s="334"/>
      <c r="AM6" s="335"/>
      <c r="AN6" s="318"/>
      <c r="AO6" s="335"/>
      <c r="AP6" s="317"/>
      <c r="AQ6" s="335"/>
      <c r="AR6" s="319"/>
      <c r="AS6" s="319"/>
      <c r="AT6" s="319"/>
      <c r="AU6" s="313"/>
      <c r="AV6" s="313"/>
      <c r="AW6" s="313"/>
      <c r="AX6" s="313"/>
      <c r="AY6" s="313"/>
      <c r="AZ6" s="320"/>
      <c r="BA6" s="313"/>
      <c r="BB6" s="317"/>
      <c r="BC6" s="313"/>
      <c r="BD6" s="313"/>
      <c r="BE6" s="313"/>
      <c r="BF6" s="313"/>
      <c r="BG6" s="313"/>
      <c r="BH6" s="313"/>
      <c r="BI6" s="313"/>
      <c r="BJ6" s="313"/>
      <c r="BK6" s="313"/>
    </row>
    <row r="7" spans="1:63" ht="15.75" x14ac:dyDescent="0.25">
      <c r="A7" s="313"/>
      <c r="B7" s="313"/>
      <c r="C7" s="313"/>
      <c r="D7" s="313"/>
      <c r="E7" s="313"/>
      <c r="F7" s="322"/>
      <c r="G7" s="313"/>
      <c r="H7" s="313"/>
      <c r="I7" s="313"/>
      <c r="J7" s="313"/>
      <c r="K7" s="336"/>
      <c r="L7" s="336"/>
      <c r="M7" s="314"/>
      <c r="N7" s="315"/>
      <c r="O7" s="313"/>
      <c r="P7" s="316"/>
      <c r="Q7" s="313"/>
      <c r="R7" s="317"/>
      <c r="S7" s="317"/>
      <c r="T7" s="332"/>
      <c r="U7" s="318"/>
      <c r="V7" s="313"/>
      <c r="W7" s="317"/>
      <c r="X7" s="324"/>
      <c r="Y7" s="317"/>
      <c r="Z7" s="313"/>
      <c r="AA7" s="334"/>
      <c r="AB7" s="334"/>
      <c r="AC7" s="318"/>
      <c r="AD7" s="334"/>
      <c r="AE7" s="318"/>
      <c r="AF7" s="334"/>
      <c r="AG7" s="318"/>
      <c r="AH7" s="334"/>
      <c r="AI7" s="313"/>
      <c r="AJ7" s="320"/>
      <c r="AK7" s="313"/>
      <c r="AL7" s="334"/>
      <c r="AM7" s="335"/>
      <c r="AN7" s="318"/>
      <c r="AO7" s="335"/>
      <c r="AP7" s="317"/>
      <c r="AQ7" s="335"/>
      <c r="AR7" s="319"/>
      <c r="AS7" s="319"/>
      <c r="AT7" s="319"/>
      <c r="AU7" s="313"/>
      <c r="AV7" s="313"/>
      <c r="AW7" s="313"/>
      <c r="AX7" s="334"/>
      <c r="AY7" s="313"/>
      <c r="AZ7" s="320"/>
      <c r="BA7" s="313"/>
      <c r="BB7" s="317"/>
      <c r="BC7" s="313"/>
      <c r="BD7" s="313"/>
      <c r="BE7" s="313"/>
      <c r="BF7" s="313"/>
      <c r="BG7" s="313"/>
      <c r="BH7" s="313"/>
      <c r="BI7" s="313"/>
      <c r="BJ7" s="313"/>
      <c r="BK7" s="313"/>
    </row>
    <row r="8" spans="1:63" ht="15.95" customHeight="1" x14ac:dyDescent="0.25">
      <c r="A8" s="313"/>
      <c r="B8" s="313"/>
      <c r="C8" s="313"/>
      <c r="D8" s="313"/>
      <c r="E8" s="313"/>
      <c r="F8" s="322"/>
      <c r="G8" s="313"/>
      <c r="H8" s="313"/>
      <c r="I8" s="313"/>
      <c r="J8" s="313"/>
      <c r="K8" s="336"/>
      <c r="L8" s="336"/>
      <c r="M8" s="314"/>
      <c r="N8" s="315"/>
      <c r="O8" s="313"/>
      <c r="P8" s="316"/>
      <c r="Q8" s="313"/>
      <c r="R8" s="317"/>
      <c r="S8" s="317"/>
      <c r="T8" s="332"/>
      <c r="U8" s="318"/>
      <c r="V8" s="313"/>
      <c r="W8" s="317"/>
      <c r="X8" s="324"/>
      <c r="Y8" s="317"/>
      <c r="Z8" s="313"/>
      <c r="AA8" s="334"/>
      <c r="AB8" s="334"/>
      <c r="AC8" s="318"/>
      <c r="AD8" s="334"/>
      <c r="AE8" s="318"/>
      <c r="AF8" s="334"/>
      <c r="AG8" s="318"/>
      <c r="AH8" s="334"/>
      <c r="AI8" s="313"/>
      <c r="AJ8" s="320"/>
      <c r="AK8" s="313"/>
      <c r="AL8" s="334"/>
      <c r="AM8" s="335"/>
      <c r="AN8" s="318"/>
      <c r="AO8" s="335"/>
      <c r="AP8" s="317"/>
      <c r="AQ8" s="335"/>
      <c r="AR8" s="319"/>
      <c r="AS8" s="319"/>
      <c r="AT8" s="319"/>
      <c r="AU8" s="313"/>
      <c r="AV8" s="313"/>
      <c r="AW8" s="313"/>
      <c r="AX8" s="334"/>
      <c r="AY8" s="313"/>
      <c r="AZ8" s="320"/>
      <c r="BA8" s="313"/>
      <c r="BB8" s="317"/>
      <c r="BC8" s="313"/>
      <c r="BD8" s="313"/>
      <c r="BE8" s="313"/>
      <c r="BF8" s="313"/>
      <c r="BG8" s="313"/>
      <c r="BH8" s="313"/>
      <c r="BI8" s="313"/>
      <c r="BJ8" s="313"/>
      <c r="BK8" s="313"/>
    </row>
    <row r="9" spans="1:63" ht="15.75" x14ac:dyDescent="0.25">
      <c r="A9" s="313"/>
      <c r="B9" s="313"/>
      <c r="C9" s="313"/>
      <c r="D9" s="313"/>
      <c r="E9" s="313"/>
      <c r="F9" s="322"/>
      <c r="G9" s="313"/>
      <c r="H9" s="313"/>
      <c r="I9" s="313"/>
      <c r="J9" s="313"/>
      <c r="K9" s="316"/>
      <c r="L9" s="316"/>
      <c r="M9" s="314"/>
      <c r="N9" s="315"/>
      <c r="O9" s="313"/>
      <c r="P9" s="316"/>
      <c r="Q9" s="313"/>
      <c r="R9" s="317"/>
      <c r="S9" s="317"/>
      <c r="T9" s="332"/>
      <c r="U9" s="318"/>
      <c r="V9" s="313"/>
      <c r="W9" s="317"/>
      <c r="X9" s="324"/>
      <c r="Y9" s="317"/>
      <c r="Z9" s="313"/>
      <c r="AA9" s="334"/>
      <c r="AB9" s="334"/>
      <c r="AC9" s="318"/>
      <c r="AD9" s="334"/>
      <c r="AE9" s="318"/>
      <c r="AF9" s="334"/>
      <c r="AG9" s="318"/>
      <c r="AH9" s="334"/>
      <c r="AI9" s="313"/>
      <c r="AJ9" s="320"/>
      <c r="AK9" s="313"/>
      <c r="AL9" s="334"/>
      <c r="AM9" s="335"/>
      <c r="AN9" s="318"/>
      <c r="AO9" s="335"/>
      <c r="AP9" s="317"/>
      <c r="AQ9" s="335"/>
      <c r="AR9" s="319"/>
      <c r="AS9" s="319"/>
      <c r="AT9" s="319"/>
      <c r="AU9" s="313"/>
      <c r="AV9" s="313"/>
      <c r="AW9" s="313"/>
      <c r="AX9" s="313"/>
      <c r="AY9" s="313"/>
      <c r="AZ9" s="320"/>
      <c r="BA9" s="313"/>
      <c r="BB9" s="317"/>
      <c r="BC9" s="313"/>
      <c r="BD9" s="313"/>
      <c r="BE9" s="313"/>
      <c r="BF9" s="313"/>
      <c r="BG9" s="313"/>
      <c r="BH9" s="313"/>
      <c r="BI9" s="313"/>
      <c r="BJ9" s="313"/>
      <c r="BK9" s="313"/>
    </row>
    <row r="10" spans="1:63" ht="15.75" x14ac:dyDescent="0.25">
      <c r="A10" s="313"/>
      <c r="B10" s="313"/>
      <c r="C10" s="313"/>
      <c r="D10" s="313"/>
      <c r="E10" s="313"/>
      <c r="F10" s="322"/>
      <c r="G10" s="313"/>
      <c r="H10" s="313"/>
      <c r="I10" s="313"/>
      <c r="J10" s="313"/>
      <c r="K10" s="316"/>
      <c r="L10" s="316"/>
      <c r="M10" s="314"/>
      <c r="N10" s="315"/>
      <c r="O10" s="313"/>
      <c r="P10" s="316"/>
      <c r="Q10" s="313"/>
      <c r="R10" s="317"/>
      <c r="S10" s="317"/>
      <c r="T10" s="332"/>
      <c r="U10" s="318"/>
      <c r="V10" s="313"/>
      <c r="W10" s="317"/>
      <c r="X10" s="333"/>
      <c r="Y10" s="317"/>
      <c r="Z10" s="313"/>
      <c r="AA10" s="334"/>
      <c r="AB10" s="334"/>
      <c r="AC10" s="318"/>
      <c r="AD10" s="334"/>
      <c r="AE10" s="318"/>
      <c r="AF10" s="334"/>
      <c r="AG10" s="318"/>
      <c r="AH10" s="334"/>
      <c r="AI10" s="313"/>
      <c r="AJ10" s="320"/>
      <c r="AK10" s="313"/>
      <c r="AL10" s="334"/>
      <c r="AM10" s="335"/>
      <c r="AN10" s="318"/>
      <c r="AO10" s="335"/>
      <c r="AP10" s="317"/>
      <c r="AQ10" s="335"/>
      <c r="AR10" s="319"/>
      <c r="AS10" s="319"/>
      <c r="AT10" s="319"/>
      <c r="AU10" s="313"/>
      <c r="AV10" s="313"/>
      <c r="AW10" s="313"/>
      <c r="AX10" s="313"/>
      <c r="AY10" s="313"/>
      <c r="AZ10" s="320"/>
      <c r="BA10" s="313"/>
      <c r="BB10" s="317"/>
      <c r="BC10" s="313"/>
      <c r="BD10" s="313"/>
      <c r="BE10" s="313"/>
      <c r="BF10" s="313"/>
      <c r="BG10" s="313"/>
      <c r="BH10" s="313"/>
      <c r="BI10" s="313"/>
      <c r="BJ10" s="313"/>
      <c r="BK10" s="313"/>
    </row>
    <row r="11" spans="1:63" ht="15.75" x14ac:dyDescent="0.25">
      <c r="A11" s="313"/>
      <c r="B11" s="313"/>
      <c r="C11" s="313"/>
      <c r="D11" s="313"/>
      <c r="E11" s="313"/>
      <c r="F11" s="322"/>
      <c r="G11" s="313"/>
      <c r="H11" s="313"/>
      <c r="I11" s="313"/>
      <c r="J11" s="313"/>
      <c r="K11" s="336"/>
      <c r="L11" s="336"/>
      <c r="M11" s="314"/>
      <c r="N11" s="315"/>
      <c r="O11" s="313"/>
      <c r="P11" s="316"/>
      <c r="Q11" s="313"/>
      <c r="R11" s="317"/>
      <c r="S11" s="317"/>
      <c r="T11" s="332"/>
      <c r="U11" s="318"/>
      <c r="V11" s="313"/>
      <c r="W11" s="317"/>
      <c r="X11" s="324"/>
      <c r="Y11" s="317"/>
      <c r="Z11" s="313"/>
      <c r="AA11" s="334"/>
      <c r="AB11" s="334"/>
      <c r="AC11" s="318"/>
      <c r="AD11" s="334"/>
      <c r="AE11" s="318"/>
      <c r="AF11" s="334"/>
      <c r="AG11" s="318"/>
      <c r="AH11" s="334"/>
      <c r="AI11" s="313"/>
      <c r="AJ11" s="320"/>
      <c r="AK11" s="313"/>
      <c r="AL11" s="334"/>
      <c r="AM11" s="335"/>
      <c r="AN11" s="318"/>
      <c r="AO11" s="335"/>
      <c r="AP11" s="317"/>
      <c r="AQ11" s="335"/>
      <c r="AR11" s="319"/>
      <c r="AS11" s="319"/>
      <c r="AT11" s="319"/>
      <c r="AU11" s="313"/>
      <c r="AV11" s="313"/>
      <c r="AW11" s="313"/>
      <c r="AX11" s="334"/>
      <c r="AY11" s="313"/>
      <c r="AZ11" s="320"/>
      <c r="BA11" s="313"/>
      <c r="BB11" s="317"/>
      <c r="BC11" s="313"/>
      <c r="BD11" s="313"/>
      <c r="BE11" s="313"/>
      <c r="BF11" s="313"/>
      <c r="BG11" s="313"/>
      <c r="BH11" s="313"/>
      <c r="BI11" s="313"/>
      <c r="BJ11" s="313"/>
      <c r="BK11" s="313"/>
    </row>
    <row r="12" spans="1:63" ht="18.75" customHeight="1" x14ac:dyDescent="0.25">
      <c r="A12" s="313"/>
      <c r="B12" s="321"/>
      <c r="C12" s="313"/>
      <c r="D12" s="319"/>
      <c r="E12" s="313"/>
      <c r="F12" s="322"/>
      <c r="G12" s="313"/>
      <c r="H12" s="313"/>
      <c r="I12" s="313"/>
      <c r="J12" s="313"/>
      <c r="K12" s="318"/>
      <c r="L12" s="318"/>
      <c r="M12" s="313"/>
      <c r="N12" s="323"/>
      <c r="O12" s="313"/>
      <c r="P12" s="316"/>
      <c r="Q12" s="313"/>
      <c r="R12" s="313"/>
      <c r="S12" s="313"/>
      <c r="T12" s="323"/>
      <c r="U12" s="313"/>
      <c r="V12" s="313"/>
      <c r="W12" s="313"/>
      <c r="X12" s="324"/>
      <c r="Y12" s="317"/>
      <c r="Z12" s="313"/>
      <c r="AA12" s="313"/>
      <c r="AB12" s="313"/>
      <c r="AC12" s="313"/>
      <c r="AD12" s="313"/>
      <c r="AE12" s="325"/>
      <c r="AF12" s="325"/>
      <c r="AG12" s="313"/>
      <c r="AH12" s="313"/>
      <c r="AI12" s="313"/>
      <c r="AJ12" s="320"/>
      <c r="AK12" s="313"/>
      <c r="AL12" s="313"/>
      <c r="AM12" s="313"/>
      <c r="AN12" s="313"/>
      <c r="AO12" s="313"/>
      <c r="AP12" s="316"/>
      <c r="AQ12" s="313"/>
      <c r="AR12" s="319"/>
      <c r="AS12" s="319"/>
      <c r="AT12" s="319"/>
      <c r="AU12" s="313"/>
      <c r="AV12" s="319"/>
      <c r="AW12" s="319"/>
      <c r="AX12" s="319"/>
      <c r="AY12" s="313"/>
      <c r="AZ12" s="320"/>
      <c r="BA12" s="313"/>
      <c r="BB12" s="318"/>
      <c r="BC12" s="313"/>
      <c r="BD12" s="313"/>
      <c r="BE12" s="313"/>
      <c r="BF12" s="313"/>
      <c r="BG12" s="313"/>
      <c r="BH12" s="313"/>
      <c r="BI12" s="313"/>
      <c r="BJ12" s="313"/>
      <c r="BK12" s="313"/>
    </row>
    <row r="13" spans="1:63" ht="15.75" x14ac:dyDescent="0.25">
      <c r="A13" s="313"/>
      <c r="B13" s="313"/>
      <c r="C13" s="313"/>
      <c r="D13" s="313"/>
      <c r="E13" s="313"/>
      <c r="F13" s="322"/>
      <c r="G13" s="313"/>
      <c r="H13" s="313"/>
      <c r="I13" s="313"/>
      <c r="J13" s="313"/>
      <c r="K13" s="318"/>
      <c r="L13" s="318"/>
      <c r="M13" s="313"/>
      <c r="N13" s="323"/>
      <c r="O13" s="313"/>
      <c r="P13" s="316"/>
      <c r="Q13" s="313"/>
      <c r="R13" s="313"/>
      <c r="S13" s="313"/>
      <c r="T13" s="323"/>
      <c r="U13" s="313"/>
      <c r="V13" s="313"/>
      <c r="W13" s="313"/>
      <c r="X13" s="324"/>
      <c r="Y13" s="317"/>
      <c r="Z13" s="313"/>
      <c r="AA13" s="313"/>
      <c r="AB13" s="313"/>
      <c r="AC13" s="313"/>
      <c r="AD13" s="313"/>
      <c r="AE13" s="325"/>
      <c r="AF13" s="325"/>
      <c r="AG13" s="313"/>
      <c r="AH13" s="313"/>
      <c r="AI13" s="313"/>
      <c r="AJ13" s="320"/>
      <c r="AK13" s="313"/>
      <c r="AL13" s="313"/>
      <c r="AM13" s="313"/>
      <c r="AN13" s="313"/>
      <c r="AO13" s="313"/>
      <c r="AP13" s="316"/>
      <c r="AQ13" s="313"/>
      <c r="AR13" s="319"/>
      <c r="AS13" s="319"/>
      <c r="AT13" s="319"/>
      <c r="AU13" s="313"/>
      <c r="AV13" s="319"/>
      <c r="AW13" s="319"/>
      <c r="AX13" s="319"/>
      <c r="AY13" s="313"/>
      <c r="AZ13" s="320"/>
      <c r="BA13" s="313"/>
      <c r="BB13" s="318"/>
      <c r="BC13" s="313"/>
      <c r="BD13" s="313"/>
      <c r="BE13" s="313"/>
      <c r="BF13" s="313"/>
      <c r="BG13" s="313"/>
      <c r="BH13" s="313"/>
      <c r="BI13" s="313"/>
      <c r="BJ13" s="313"/>
      <c r="BK13" s="313"/>
    </row>
    <row r="14" spans="1:63" ht="15.75" x14ac:dyDescent="0.25">
      <c r="A14" s="313"/>
      <c r="B14" s="313"/>
      <c r="C14" s="313"/>
      <c r="D14" s="313"/>
      <c r="E14" s="313"/>
      <c r="F14" s="322"/>
      <c r="G14" s="313"/>
      <c r="H14" s="313"/>
      <c r="I14" s="313"/>
      <c r="J14" s="313"/>
      <c r="K14" s="336"/>
      <c r="L14" s="336"/>
      <c r="M14" s="314"/>
      <c r="N14" s="315"/>
      <c r="O14" s="313"/>
      <c r="P14" s="316"/>
      <c r="Q14" s="313"/>
      <c r="R14" s="317"/>
      <c r="S14" s="317"/>
      <c r="T14" s="332"/>
      <c r="U14" s="318"/>
      <c r="V14" s="313"/>
      <c r="W14" s="317"/>
      <c r="X14" s="324"/>
      <c r="Y14" s="317"/>
      <c r="Z14" s="313"/>
      <c r="AA14" s="334"/>
      <c r="AB14" s="334"/>
      <c r="AC14" s="318"/>
      <c r="AD14" s="334"/>
      <c r="AE14" s="318"/>
      <c r="AF14" s="334"/>
      <c r="AG14" s="318"/>
      <c r="AH14" s="334"/>
      <c r="AI14" s="313"/>
      <c r="AJ14" s="320"/>
      <c r="AK14" s="313"/>
      <c r="AL14" s="334"/>
      <c r="AM14" s="335"/>
      <c r="AN14" s="318"/>
      <c r="AO14" s="335"/>
      <c r="AP14" s="317"/>
      <c r="AQ14" s="335"/>
      <c r="AR14" s="319"/>
      <c r="AS14" s="319"/>
      <c r="AT14" s="319"/>
      <c r="AU14" s="313"/>
      <c r="AV14" s="313"/>
      <c r="AW14" s="313"/>
      <c r="AX14" s="334"/>
      <c r="AY14" s="313"/>
      <c r="AZ14" s="320"/>
      <c r="BA14" s="313"/>
      <c r="BB14" s="317"/>
      <c r="BC14" s="313"/>
      <c r="BD14" s="313"/>
      <c r="BE14" s="313"/>
      <c r="BF14" s="313"/>
      <c r="BG14" s="313"/>
      <c r="BH14" s="313"/>
      <c r="BI14" s="313"/>
      <c r="BJ14" s="313"/>
      <c r="BK14" s="313"/>
    </row>
    <row r="15" spans="1:63" ht="15.75" x14ac:dyDescent="0.25">
      <c r="A15" s="313"/>
      <c r="B15" s="313"/>
      <c r="C15" s="313"/>
      <c r="D15" s="313"/>
      <c r="E15" s="313"/>
      <c r="F15" s="322"/>
      <c r="G15" s="313"/>
      <c r="H15" s="313"/>
      <c r="I15" s="313"/>
      <c r="J15" s="313"/>
      <c r="K15" s="336"/>
      <c r="L15" s="336"/>
      <c r="M15" s="314"/>
      <c r="N15" s="315"/>
      <c r="O15" s="313"/>
      <c r="P15" s="316"/>
      <c r="Q15" s="313"/>
      <c r="R15" s="317"/>
      <c r="S15" s="317"/>
      <c r="T15" s="332"/>
      <c r="U15" s="318"/>
      <c r="V15" s="313"/>
      <c r="W15" s="317"/>
      <c r="X15" s="324"/>
      <c r="Y15" s="317"/>
      <c r="Z15" s="313"/>
      <c r="AA15" s="334"/>
      <c r="AB15" s="334"/>
      <c r="AC15" s="318"/>
      <c r="AD15" s="334"/>
      <c r="AE15" s="318"/>
      <c r="AF15" s="334"/>
      <c r="AG15" s="318"/>
      <c r="AH15" s="334"/>
      <c r="AI15" s="313"/>
      <c r="AJ15" s="320"/>
      <c r="AK15" s="313"/>
      <c r="AL15" s="334"/>
      <c r="AM15" s="335"/>
      <c r="AN15" s="318"/>
      <c r="AO15" s="335"/>
      <c r="AP15" s="317"/>
      <c r="AQ15" s="335"/>
      <c r="AR15" s="319"/>
      <c r="AS15" s="319"/>
      <c r="AT15" s="319"/>
      <c r="AU15" s="313"/>
      <c r="AV15" s="313"/>
      <c r="AW15" s="313"/>
      <c r="AX15" s="334"/>
      <c r="AY15" s="313"/>
      <c r="AZ15" s="320"/>
      <c r="BA15" s="313"/>
      <c r="BB15" s="317"/>
      <c r="BC15" s="313"/>
      <c r="BD15" s="313"/>
      <c r="BE15" s="313"/>
      <c r="BF15" s="313"/>
      <c r="BG15" s="313"/>
      <c r="BH15" s="313"/>
      <c r="BI15" s="313"/>
      <c r="BJ15" s="313"/>
      <c r="BK15" s="313"/>
    </row>
    <row r="16" spans="1:63" ht="15.75" x14ac:dyDescent="0.25">
      <c r="A16" s="313"/>
      <c r="B16" s="313"/>
      <c r="C16" s="313"/>
      <c r="D16" s="313"/>
      <c r="E16" s="313"/>
      <c r="F16" s="322"/>
      <c r="G16" s="313"/>
      <c r="H16" s="313"/>
      <c r="I16" s="313"/>
      <c r="J16" s="313"/>
      <c r="K16" s="336"/>
      <c r="L16" s="336"/>
      <c r="M16" s="314"/>
      <c r="N16" s="315"/>
      <c r="O16" s="313"/>
      <c r="P16" s="316"/>
      <c r="Q16" s="313"/>
      <c r="R16" s="317"/>
      <c r="S16" s="317"/>
      <c r="T16" s="332"/>
      <c r="U16" s="318"/>
      <c r="V16" s="313"/>
      <c r="W16" s="317"/>
      <c r="X16" s="324"/>
      <c r="Y16" s="317"/>
      <c r="Z16" s="313"/>
      <c r="AA16" s="334"/>
      <c r="AB16" s="334"/>
      <c r="AC16" s="318"/>
      <c r="AD16" s="334"/>
      <c r="AE16" s="318"/>
      <c r="AF16" s="334"/>
      <c r="AG16" s="318"/>
      <c r="AH16" s="334"/>
      <c r="AI16" s="313"/>
      <c r="AJ16" s="320"/>
      <c r="AK16" s="313"/>
      <c r="AL16" s="334"/>
      <c r="AM16" s="335"/>
      <c r="AN16" s="318"/>
      <c r="AO16" s="335"/>
      <c r="AP16" s="317"/>
      <c r="AQ16" s="335"/>
      <c r="AR16" s="319"/>
      <c r="AS16" s="319"/>
      <c r="AT16" s="319"/>
      <c r="AU16" s="313"/>
      <c r="AV16" s="313"/>
      <c r="AW16" s="313"/>
      <c r="AX16" s="334"/>
      <c r="AY16" s="313"/>
      <c r="AZ16" s="320"/>
      <c r="BA16" s="313"/>
      <c r="BB16" s="317"/>
      <c r="BC16" s="313"/>
      <c r="BD16" s="313"/>
      <c r="BE16" s="313"/>
      <c r="BF16" s="313"/>
      <c r="BG16" s="313"/>
      <c r="BH16" s="313"/>
      <c r="BI16" s="313"/>
      <c r="BJ16" s="313"/>
      <c r="BK16" s="313"/>
    </row>
    <row r="17" spans="1:63" ht="15.95" customHeight="1" x14ac:dyDescent="0.25">
      <c r="A17" s="120"/>
      <c r="B17" s="22"/>
      <c r="C17" s="121"/>
      <c r="D17" s="121"/>
      <c r="E17" s="122"/>
      <c r="F17" s="122"/>
      <c r="G17" s="22"/>
      <c r="H17" s="22"/>
      <c r="I17" s="122"/>
      <c r="J17" s="22"/>
      <c r="K17" s="123"/>
      <c r="L17" s="123"/>
      <c r="M17" s="118"/>
      <c r="N17" s="124"/>
      <c r="O17" s="22"/>
      <c r="P17" s="125"/>
      <c r="Q17" s="22"/>
      <c r="R17" s="119"/>
      <c r="S17" s="126"/>
      <c r="T17" s="127"/>
      <c r="U17" s="128"/>
      <c r="V17" s="22"/>
      <c r="W17" s="119"/>
      <c r="X17" s="129"/>
      <c r="Y17" s="119"/>
      <c r="Z17" s="22"/>
      <c r="AA17" s="130"/>
      <c r="AB17" s="130"/>
      <c r="AC17" s="103"/>
      <c r="AD17" s="130"/>
      <c r="AE17" s="103"/>
      <c r="AF17" s="130"/>
      <c r="AG17" s="103"/>
      <c r="AH17" s="130"/>
      <c r="AI17" s="22"/>
      <c r="AJ17" s="131"/>
      <c r="AK17" s="22"/>
      <c r="AL17" s="130"/>
      <c r="AM17" s="132"/>
      <c r="AN17" s="103"/>
      <c r="AO17" s="132"/>
      <c r="AP17" s="126"/>
      <c r="AQ17" s="132"/>
      <c r="AR17" s="29"/>
      <c r="AS17" s="29"/>
      <c r="AT17" s="29"/>
      <c r="AU17" s="22"/>
      <c r="AV17" s="122"/>
      <c r="AW17" s="122"/>
      <c r="AX17" s="130"/>
      <c r="AY17" s="22"/>
      <c r="AZ17" s="133"/>
      <c r="BA17" s="22"/>
      <c r="BB17" s="126"/>
      <c r="BC17" s="22"/>
      <c r="BD17" s="22"/>
      <c r="BE17" s="22"/>
      <c r="BF17" s="22"/>
      <c r="BG17" s="22"/>
      <c r="BH17" s="22"/>
      <c r="BI17" s="22"/>
      <c r="BJ17" s="22"/>
      <c r="BK17" s="22"/>
    </row>
    <row r="18" spans="1:63" ht="15.75" x14ac:dyDescent="0.25">
      <c r="A18" s="120"/>
      <c r="B18" s="22"/>
      <c r="C18" s="121"/>
      <c r="D18" s="121"/>
      <c r="E18" s="122"/>
      <c r="F18" s="122"/>
      <c r="G18" s="22"/>
      <c r="H18" s="22"/>
      <c r="I18" s="122"/>
      <c r="J18" s="22"/>
      <c r="K18" s="123"/>
      <c r="L18" s="123"/>
      <c r="M18" s="118"/>
      <c r="N18" s="124"/>
      <c r="O18" s="22"/>
      <c r="P18" s="125"/>
      <c r="Q18" s="22"/>
      <c r="R18" s="119"/>
      <c r="S18" s="126"/>
      <c r="T18" s="127"/>
      <c r="U18" s="128"/>
      <c r="V18" s="22"/>
      <c r="W18" s="119"/>
      <c r="X18" s="129"/>
      <c r="Y18" s="119"/>
      <c r="Z18" s="22"/>
      <c r="AA18" s="130"/>
      <c r="AB18" s="130"/>
      <c r="AC18" s="103"/>
      <c r="AD18" s="130"/>
      <c r="AE18" s="103"/>
      <c r="AF18" s="130"/>
      <c r="AG18" s="103"/>
      <c r="AH18" s="130"/>
      <c r="AI18" s="22"/>
      <c r="AJ18" s="131"/>
      <c r="AK18" s="22"/>
      <c r="AL18" s="130"/>
      <c r="AM18" s="132"/>
      <c r="AN18" s="103"/>
      <c r="AO18" s="132"/>
      <c r="AP18" s="126"/>
      <c r="AQ18" s="132"/>
      <c r="AR18" s="29"/>
      <c r="AS18" s="29"/>
      <c r="AT18" s="29"/>
      <c r="AU18" s="22"/>
      <c r="AV18" s="122"/>
      <c r="AW18" s="122"/>
      <c r="AX18" s="130"/>
      <c r="AY18" s="22"/>
      <c r="AZ18" s="133"/>
      <c r="BA18" s="22"/>
      <c r="BB18" s="126"/>
      <c r="BC18" s="22"/>
      <c r="BD18" s="22"/>
      <c r="BE18" s="22"/>
      <c r="BF18" s="22"/>
      <c r="BG18" s="22"/>
      <c r="BH18" s="22"/>
      <c r="BI18" s="22"/>
      <c r="BJ18" s="22"/>
      <c r="BK18" s="22"/>
    </row>
    <row r="19" spans="1:63" ht="15.95" customHeight="1" x14ac:dyDescent="0.25">
      <c r="A19" s="120"/>
      <c r="B19" s="22"/>
      <c r="C19" s="121"/>
      <c r="D19" s="121"/>
      <c r="E19" s="122"/>
      <c r="F19" s="122"/>
      <c r="G19" s="22"/>
      <c r="H19" s="22"/>
      <c r="I19" s="122"/>
      <c r="J19" s="22"/>
      <c r="K19" s="123"/>
      <c r="L19" s="123"/>
      <c r="M19" s="118"/>
      <c r="N19" s="124"/>
      <c r="O19" s="22"/>
      <c r="P19" s="125"/>
      <c r="Q19" s="22"/>
      <c r="R19" s="119"/>
      <c r="S19" s="126"/>
      <c r="T19" s="127"/>
      <c r="U19" s="128"/>
      <c r="V19" s="22"/>
      <c r="W19" s="119"/>
      <c r="X19" s="129"/>
      <c r="Y19" s="119"/>
      <c r="Z19" s="22"/>
      <c r="AA19" s="130"/>
      <c r="AB19" s="130"/>
      <c r="AC19" s="103"/>
      <c r="AD19" s="130"/>
      <c r="AE19" s="103"/>
      <c r="AF19" s="130"/>
      <c r="AG19" s="103"/>
      <c r="AH19" s="130"/>
      <c r="AI19" s="22"/>
      <c r="AJ19" s="131"/>
      <c r="AK19" s="22"/>
      <c r="AL19" s="130"/>
      <c r="AM19" s="132"/>
      <c r="AN19" s="103"/>
      <c r="AO19" s="132"/>
      <c r="AP19" s="126"/>
      <c r="AQ19" s="132"/>
      <c r="AR19" s="29"/>
      <c r="AS19" s="29"/>
      <c r="AT19" s="29"/>
      <c r="AU19" s="22"/>
      <c r="AV19" s="122"/>
      <c r="AW19" s="122"/>
      <c r="AX19" s="130"/>
      <c r="AY19" s="22"/>
      <c r="AZ19" s="133"/>
      <c r="BA19" s="22"/>
      <c r="BB19" s="126"/>
      <c r="BC19" s="22"/>
      <c r="BD19" s="22"/>
      <c r="BE19" s="22"/>
      <c r="BF19" s="22"/>
      <c r="BG19" s="22"/>
      <c r="BH19" s="22"/>
      <c r="BI19" s="22"/>
      <c r="BJ19" s="22"/>
      <c r="BK19" s="22"/>
    </row>
    <row r="20" spans="1:63" ht="15.75" x14ac:dyDescent="0.25">
      <c r="A20" s="120"/>
      <c r="B20" s="22"/>
      <c r="C20" s="121"/>
      <c r="D20" s="121"/>
      <c r="E20" s="122"/>
      <c r="F20" s="122"/>
      <c r="G20" s="22"/>
      <c r="H20" s="22"/>
      <c r="I20" s="122"/>
      <c r="J20" s="22"/>
      <c r="K20" s="123"/>
      <c r="L20" s="123"/>
      <c r="M20" s="118"/>
      <c r="N20" s="124"/>
      <c r="O20" s="22"/>
      <c r="P20" s="125"/>
      <c r="Q20" s="22"/>
      <c r="R20" s="119"/>
      <c r="S20" s="126"/>
      <c r="T20" s="127"/>
      <c r="U20" s="128"/>
      <c r="V20" s="22"/>
      <c r="W20" s="119"/>
      <c r="X20" s="129"/>
      <c r="Y20" s="119"/>
      <c r="Z20" s="22"/>
      <c r="AA20" s="130"/>
      <c r="AB20" s="130"/>
      <c r="AC20" s="103"/>
      <c r="AD20" s="130"/>
      <c r="AE20" s="103"/>
      <c r="AF20" s="130"/>
      <c r="AG20" s="103"/>
      <c r="AH20" s="130"/>
      <c r="AI20" s="22"/>
      <c r="AJ20" s="131"/>
      <c r="AK20" s="22"/>
      <c r="AL20" s="130"/>
      <c r="AM20" s="132"/>
      <c r="AN20" s="103"/>
      <c r="AO20" s="132"/>
      <c r="AP20" s="126"/>
      <c r="AQ20" s="132"/>
      <c r="AR20" s="29"/>
      <c r="AS20" s="29"/>
      <c r="AT20" s="29"/>
      <c r="AU20" s="22"/>
      <c r="AV20" s="122"/>
      <c r="AW20" s="122"/>
      <c r="AX20" s="130"/>
      <c r="AY20" s="22"/>
      <c r="AZ20" s="133"/>
      <c r="BA20" s="22"/>
      <c r="BB20" s="126"/>
      <c r="BC20" s="22"/>
      <c r="BD20" s="22"/>
      <c r="BE20" s="22"/>
      <c r="BF20" s="22"/>
      <c r="BG20" s="22"/>
      <c r="BH20" s="22"/>
      <c r="BI20" s="22"/>
      <c r="BJ20" s="22"/>
      <c r="BK20" s="22"/>
    </row>
    <row r="21" spans="1:63" ht="15.75" x14ac:dyDescent="0.25">
      <c r="A21" s="120"/>
      <c r="B21" s="22"/>
      <c r="C21" s="121"/>
      <c r="D21" s="121"/>
      <c r="E21" s="122"/>
      <c r="F21" s="122"/>
      <c r="G21" s="22"/>
      <c r="H21" s="22"/>
      <c r="I21" s="122"/>
      <c r="J21" s="22"/>
      <c r="K21" s="123"/>
      <c r="L21" s="123"/>
      <c r="M21" s="118"/>
      <c r="N21" s="124"/>
      <c r="O21" s="22"/>
      <c r="P21" s="125"/>
      <c r="Q21" s="22"/>
      <c r="R21" s="119"/>
      <c r="S21" s="126"/>
      <c r="T21" s="127"/>
      <c r="U21" s="128"/>
      <c r="V21" s="22"/>
      <c r="W21" s="119"/>
      <c r="X21" s="129"/>
      <c r="Y21" s="119"/>
      <c r="Z21" s="22"/>
      <c r="AA21" s="130"/>
      <c r="AB21" s="130"/>
      <c r="AC21" s="103"/>
      <c r="AD21" s="130"/>
      <c r="AE21" s="103"/>
      <c r="AF21" s="130"/>
      <c r="AG21" s="103"/>
      <c r="AH21" s="130"/>
      <c r="AI21" s="22"/>
      <c r="AJ21" s="131"/>
      <c r="AK21" s="22"/>
      <c r="AL21" s="130"/>
      <c r="AM21" s="132"/>
      <c r="AN21" s="103"/>
      <c r="AO21" s="132"/>
      <c r="AP21" s="126"/>
      <c r="AQ21" s="132"/>
      <c r="AR21" s="29"/>
      <c r="AS21" s="29"/>
      <c r="AT21" s="29"/>
      <c r="AU21" s="22"/>
      <c r="AV21" s="122"/>
      <c r="AW21" s="122"/>
      <c r="AX21" s="130"/>
      <c r="AY21" s="22"/>
      <c r="AZ21" s="133"/>
      <c r="BA21" s="22"/>
      <c r="BB21" s="126"/>
      <c r="BC21" s="22"/>
      <c r="BD21" s="22"/>
      <c r="BE21" s="22"/>
      <c r="BF21" s="22"/>
      <c r="BG21" s="22"/>
      <c r="BH21" s="22"/>
      <c r="BI21" s="22"/>
      <c r="BJ21" s="22"/>
      <c r="BK21" s="22"/>
    </row>
    <row r="22" spans="1:63" ht="15.75" x14ac:dyDescent="0.25">
      <c r="A22" s="120"/>
      <c r="B22" s="22"/>
      <c r="C22" s="121"/>
      <c r="D22" s="121"/>
      <c r="E22" s="122"/>
      <c r="F22" s="122"/>
      <c r="G22" s="22"/>
      <c r="H22" s="22"/>
      <c r="I22" s="122"/>
      <c r="J22" s="22"/>
      <c r="K22" s="123"/>
      <c r="L22" s="123"/>
      <c r="M22" s="118"/>
      <c r="N22" s="124"/>
      <c r="O22" s="22"/>
      <c r="P22" s="125"/>
      <c r="Q22" s="22"/>
      <c r="R22" s="119"/>
      <c r="S22" s="126"/>
      <c r="T22" s="127"/>
      <c r="U22" s="128"/>
      <c r="V22" s="22"/>
      <c r="W22" s="119"/>
      <c r="X22" s="129"/>
      <c r="Y22" s="119"/>
      <c r="Z22" s="22"/>
      <c r="AA22" s="130"/>
      <c r="AB22" s="130"/>
      <c r="AC22" s="103"/>
      <c r="AD22" s="130"/>
      <c r="AE22" s="103"/>
      <c r="AF22" s="130"/>
      <c r="AG22" s="103"/>
      <c r="AH22" s="130"/>
      <c r="AI22" s="22"/>
      <c r="AJ22" s="131"/>
      <c r="AK22" s="22"/>
      <c r="AL22" s="130"/>
      <c r="AM22" s="132"/>
      <c r="AN22" s="103"/>
      <c r="AO22" s="132"/>
      <c r="AP22" s="126"/>
      <c r="AQ22" s="132"/>
      <c r="AR22" s="29"/>
      <c r="AS22" s="29"/>
      <c r="AT22" s="29"/>
      <c r="AU22" s="22"/>
      <c r="AV22" s="122"/>
      <c r="AW22" s="122"/>
      <c r="AX22" s="130"/>
      <c r="AY22" s="22"/>
      <c r="AZ22" s="133"/>
      <c r="BA22" s="22"/>
      <c r="BB22" s="126"/>
      <c r="BC22" s="22"/>
      <c r="BD22" s="22"/>
      <c r="BE22" s="22"/>
      <c r="BF22" s="22"/>
      <c r="BG22" s="22"/>
      <c r="BH22" s="22"/>
      <c r="BI22" s="22"/>
      <c r="BJ22" s="22"/>
      <c r="BK22" s="22"/>
    </row>
    <row r="23" spans="1:63" ht="18.75" x14ac:dyDescent="0.25">
      <c r="A23" s="28"/>
      <c r="B23" s="134"/>
      <c r="C23" s="22"/>
      <c r="D23" s="22"/>
      <c r="E23" s="122"/>
      <c r="F23" s="122"/>
      <c r="G23" s="17"/>
      <c r="H23" s="17"/>
      <c r="I23" s="17"/>
      <c r="J23" s="17"/>
      <c r="K23" s="20"/>
      <c r="L23" s="20"/>
      <c r="M23" s="26"/>
      <c r="N23" s="98"/>
      <c r="O23" s="17"/>
      <c r="P23" s="25"/>
      <c r="Q23" s="17"/>
      <c r="R23" s="118"/>
      <c r="S23" s="24"/>
      <c r="T23" s="98"/>
      <c r="U23" s="17"/>
      <c r="V23" s="17"/>
      <c r="W23" s="17"/>
      <c r="X23" s="135"/>
      <c r="Y23" s="119"/>
      <c r="Z23" s="17"/>
      <c r="AA23" s="22"/>
      <c r="AB23" s="22"/>
      <c r="AC23" s="22"/>
      <c r="AD23" s="22"/>
      <c r="AE23" s="23"/>
      <c r="AF23" s="23"/>
      <c r="AG23" s="136"/>
      <c r="AH23" s="136"/>
      <c r="AI23" s="17"/>
      <c r="AJ23" s="21"/>
      <c r="AK23" s="17"/>
      <c r="AL23" s="17"/>
      <c r="AM23" s="17"/>
      <c r="AN23" s="17"/>
      <c r="AO23" s="17"/>
      <c r="AP23" s="25"/>
      <c r="AQ23" s="17"/>
      <c r="AR23" s="29"/>
      <c r="AS23" s="29"/>
      <c r="AT23" s="16"/>
      <c r="AV23" s="137"/>
      <c r="AW23" s="137"/>
      <c r="AX23" s="16"/>
      <c r="AY23" s="17"/>
      <c r="AZ23" s="21"/>
      <c r="BA23" s="17"/>
      <c r="BB23" s="20"/>
      <c r="BC23" s="17"/>
      <c r="BD23" s="17"/>
      <c r="BE23" s="17"/>
      <c r="BF23" s="17"/>
      <c r="BG23" s="17"/>
      <c r="BH23" s="17"/>
      <c r="BI23" s="17"/>
      <c r="BJ23" s="17"/>
      <c r="BK23" s="17"/>
    </row>
    <row r="24" spans="1:63" ht="15.6" customHeight="1" x14ac:dyDescent="0.25">
      <c r="A24" s="28"/>
      <c r="B24" s="17"/>
      <c r="C24" s="17"/>
      <c r="D24" s="22"/>
      <c r="E24" s="27"/>
      <c r="F24" s="27"/>
      <c r="G24" s="17"/>
      <c r="H24" s="17"/>
      <c r="I24" s="17"/>
      <c r="J24" s="17"/>
      <c r="K24" s="20"/>
      <c r="L24" s="20"/>
      <c r="M24" s="26"/>
      <c r="N24" s="98"/>
      <c r="O24" s="17"/>
      <c r="P24" s="25"/>
      <c r="Q24" s="17"/>
      <c r="R24" s="118"/>
      <c r="S24" s="24"/>
      <c r="T24" s="98"/>
      <c r="U24" s="17"/>
      <c r="V24" s="17"/>
      <c r="W24" s="17"/>
      <c r="X24" s="135"/>
      <c r="Y24" s="119"/>
      <c r="Z24" s="17"/>
      <c r="AA24" s="22"/>
      <c r="AB24" s="22"/>
      <c r="AC24" s="22"/>
      <c r="AD24" s="22"/>
      <c r="AE24" s="23"/>
      <c r="AF24" s="23"/>
      <c r="AI24" s="17"/>
      <c r="AJ24" s="21"/>
      <c r="AK24" s="17"/>
      <c r="AL24" s="17"/>
      <c r="AM24" s="17"/>
      <c r="AN24" s="17"/>
      <c r="AO24" s="17"/>
      <c r="AP24" s="25"/>
      <c r="AQ24" s="17"/>
      <c r="AR24" s="16"/>
      <c r="AS24" s="16"/>
      <c r="AT24" s="16"/>
      <c r="AU24" s="17"/>
      <c r="AV24" s="16"/>
      <c r="AW24" s="16"/>
      <c r="AX24" s="16"/>
      <c r="AY24" s="17"/>
      <c r="AZ24" s="21"/>
      <c r="BA24" s="17"/>
      <c r="BB24" s="20"/>
      <c r="BC24" s="17"/>
      <c r="BD24" s="17"/>
      <c r="BE24" s="17"/>
      <c r="BF24" s="17"/>
      <c r="BG24" s="17"/>
      <c r="BH24" s="17"/>
      <c r="BI24" s="17"/>
      <c r="BJ24" s="17"/>
      <c r="BK24" s="17"/>
    </row>
    <row r="25" spans="1:63" ht="24.6" customHeight="1" x14ac:dyDescent="0.25">
      <c r="A25" s="28"/>
      <c r="B25" s="17"/>
      <c r="C25" s="17"/>
      <c r="D25" s="22"/>
      <c r="E25" s="27"/>
      <c r="F25" s="27"/>
      <c r="G25" s="17"/>
      <c r="H25" s="17"/>
      <c r="I25" s="17"/>
      <c r="J25" s="17"/>
      <c r="K25" s="20"/>
      <c r="L25" s="20"/>
      <c r="M25" s="26"/>
      <c r="N25" s="98"/>
      <c r="O25" s="17"/>
      <c r="P25" s="25"/>
      <c r="Q25" s="17"/>
      <c r="R25" s="118"/>
      <c r="S25" s="24"/>
      <c r="T25" s="98"/>
      <c r="U25" s="17"/>
      <c r="V25" s="17"/>
      <c r="W25" s="17"/>
      <c r="X25" s="135"/>
      <c r="Y25" s="119"/>
      <c r="Z25" s="17"/>
      <c r="AA25" s="22"/>
      <c r="AB25" s="22"/>
      <c r="AC25" s="22"/>
      <c r="AD25" s="22"/>
      <c r="AE25" s="23"/>
      <c r="AF25" s="23"/>
      <c r="AI25" s="17"/>
      <c r="AJ25" s="21"/>
      <c r="AK25" s="17"/>
      <c r="AL25" s="17"/>
      <c r="AM25" s="17"/>
      <c r="AN25" s="17"/>
      <c r="AO25" s="17"/>
      <c r="AP25" s="25"/>
      <c r="AQ25" s="17"/>
      <c r="AR25" s="16"/>
      <c r="AS25" s="16"/>
      <c r="AT25" s="16"/>
      <c r="AU25" s="17"/>
      <c r="AV25" s="16"/>
      <c r="AW25" s="16"/>
      <c r="AX25" s="16"/>
      <c r="AY25" s="17"/>
      <c r="AZ25" s="21"/>
      <c r="BA25" s="17"/>
      <c r="BB25" s="20"/>
      <c r="BC25" s="17"/>
      <c r="BD25" s="17"/>
      <c r="BE25" s="17"/>
      <c r="BF25" s="17"/>
      <c r="BG25" s="17"/>
      <c r="BH25" s="17"/>
      <c r="BI25" s="17"/>
      <c r="BJ25" s="17"/>
      <c r="BK25" s="17"/>
    </row>
    <row r="26" spans="1:63" ht="18.75" x14ac:dyDescent="0.25">
      <c r="A26" s="28"/>
      <c r="B26" s="22"/>
      <c r="C26" s="22"/>
      <c r="D26" s="22"/>
      <c r="E26" s="27"/>
      <c r="F26" s="27"/>
      <c r="G26" s="17"/>
      <c r="H26" s="17"/>
      <c r="I26" s="17"/>
      <c r="J26" s="17"/>
      <c r="K26" s="20"/>
      <c r="L26" s="20"/>
      <c r="M26" s="26"/>
      <c r="N26" s="98"/>
      <c r="O26" s="17"/>
      <c r="P26" s="25"/>
      <c r="Q26" s="17"/>
      <c r="R26" s="118"/>
      <c r="S26" s="24"/>
      <c r="T26" s="98"/>
      <c r="U26" s="17"/>
      <c r="V26" s="17"/>
      <c r="W26" s="17"/>
      <c r="X26" s="135"/>
      <c r="Y26" s="119"/>
      <c r="Z26" s="17"/>
      <c r="AA26" s="22"/>
      <c r="AB26" s="22"/>
      <c r="AC26" s="22"/>
      <c r="AD26" s="22"/>
      <c r="AE26" s="23"/>
      <c r="AF26" s="23"/>
      <c r="AG26" s="22"/>
      <c r="AH26" s="22"/>
      <c r="AI26" s="17"/>
      <c r="AJ26" s="21"/>
      <c r="AK26" s="17"/>
      <c r="AL26" s="17"/>
      <c r="AM26" s="17"/>
      <c r="AN26" s="17"/>
      <c r="AO26" s="17"/>
      <c r="AP26" s="25"/>
      <c r="AQ26" s="17"/>
      <c r="AR26" s="16"/>
      <c r="AS26" s="16"/>
      <c r="AT26" s="16"/>
      <c r="AU26" s="17"/>
      <c r="AV26" s="16"/>
      <c r="AW26" s="16"/>
      <c r="AX26" s="16"/>
      <c r="AY26" s="17"/>
      <c r="AZ26" s="21"/>
      <c r="BA26" s="17"/>
      <c r="BB26" s="20"/>
      <c r="BC26" s="17"/>
      <c r="BD26" s="17"/>
      <c r="BE26" s="17"/>
      <c r="BF26" s="17"/>
      <c r="BG26" s="17"/>
      <c r="BH26" s="17"/>
      <c r="BI26" s="17"/>
      <c r="BJ26" s="17"/>
      <c r="BK26" s="17"/>
    </row>
    <row r="27" spans="1:63" ht="15.75" x14ac:dyDescent="0.25">
      <c r="A27" s="120"/>
      <c r="B27" s="22"/>
      <c r="C27" s="121"/>
      <c r="D27" s="121"/>
      <c r="E27" s="122"/>
      <c r="F27" s="122"/>
      <c r="G27" s="22"/>
      <c r="H27" s="22"/>
      <c r="I27" s="122"/>
      <c r="J27" s="22"/>
      <c r="K27" s="123"/>
      <c r="L27" s="123"/>
      <c r="M27" s="118"/>
      <c r="N27" s="124"/>
      <c r="O27" s="22"/>
      <c r="P27" s="125"/>
      <c r="Q27" s="22"/>
      <c r="R27" s="119"/>
      <c r="S27" s="126"/>
      <c r="T27" s="127"/>
      <c r="U27" s="128"/>
      <c r="V27" s="22"/>
      <c r="W27" s="119"/>
      <c r="X27" s="129"/>
      <c r="Y27" s="119"/>
      <c r="Z27" s="22"/>
      <c r="AA27" s="130"/>
      <c r="AB27" s="130"/>
      <c r="AC27" s="103"/>
      <c r="AD27" s="130"/>
      <c r="AE27" s="103"/>
      <c r="AF27" s="130"/>
      <c r="AG27" s="103"/>
      <c r="AH27" s="130"/>
      <c r="AI27" s="22"/>
      <c r="AJ27" s="131"/>
      <c r="AK27" s="22"/>
      <c r="AL27" s="130"/>
      <c r="AM27" s="132"/>
      <c r="AN27" s="103"/>
      <c r="AO27" s="132"/>
      <c r="AP27" s="126"/>
      <c r="AQ27" s="132"/>
      <c r="AR27" s="29"/>
      <c r="AS27" s="29"/>
      <c r="AT27" s="29"/>
      <c r="AU27" s="22"/>
      <c r="AV27" s="122"/>
      <c r="AW27" s="122"/>
      <c r="AX27" s="130"/>
      <c r="AY27" s="22"/>
      <c r="AZ27" s="133"/>
      <c r="BA27" s="22"/>
      <c r="BB27" s="126"/>
      <c r="BC27" s="22"/>
      <c r="BD27" s="22"/>
      <c r="BE27" s="22"/>
      <c r="BF27" s="22"/>
      <c r="BG27" s="22"/>
      <c r="BH27" s="22"/>
      <c r="BI27" s="22"/>
      <c r="BJ27" s="22"/>
      <c r="BK27" s="22"/>
    </row>
    <row r="28" spans="1:63" ht="15.95" customHeight="1" x14ac:dyDescent="0.25">
      <c r="A28" s="120"/>
      <c r="B28" s="22"/>
      <c r="C28" s="121"/>
      <c r="D28" s="121"/>
      <c r="E28" s="122"/>
      <c r="F28" s="122"/>
      <c r="G28" s="22"/>
      <c r="H28" s="22"/>
      <c r="I28" s="122"/>
      <c r="J28" s="22"/>
      <c r="K28" s="123"/>
      <c r="L28" s="123"/>
      <c r="M28" s="118"/>
      <c r="N28" s="124"/>
      <c r="O28" s="22"/>
      <c r="P28" s="125"/>
      <c r="Q28" s="22"/>
      <c r="R28" s="119"/>
      <c r="S28" s="126"/>
      <c r="T28" s="127"/>
      <c r="U28" s="128"/>
      <c r="V28" s="22"/>
      <c r="W28" s="119"/>
      <c r="X28" s="129"/>
      <c r="Y28" s="119"/>
      <c r="Z28" s="22"/>
      <c r="AA28" s="130"/>
      <c r="AB28" s="130"/>
      <c r="AC28" s="103"/>
      <c r="AD28" s="130"/>
      <c r="AE28" s="103"/>
      <c r="AF28" s="130"/>
      <c r="AG28" s="103"/>
      <c r="AH28" s="130"/>
      <c r="AI28" s="22"/>
      <c r="AJ28" s="131"/>
      <c r="AK28" s="22"/>
      <c r="AL28" s="130"/>
      <c r="AM28" s="132"/>
      <c r="AN28" s="103"/>
      <c r="AO28" s="132"/>
      <c r="AP28" s="126"/>
      <c r="AQ28" s="132"/>
      <c r="AR28" s="29"/>
      <c r="AS28" s="29"/>
      <c r="AT28" s="29"/>
      <c r="AU28" s="22"/>
      <c r="AV28" s="122"/>
      <c r="AW28" s="122"/>
      <c r="AX28" s="130"/>
      <c r="AY28" s="22"/>
      <c r="AZ28" s="133"/>
      <c r="BA28" s="22"/>
      <c r="BB28" s="126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1:63" ht="15.75" x14ac:dyDescent="0.25">
      <c r="A29" s="120"/>
      <c r="B29" s="22"/>
      <c r="C29" s="121"/>
      <c r="D29" s="121"/>
      <c r="E29" s="122"/>
      <c r="F29" s="122"/>
      <c r="G29" s="22"/>
      <c r="H29" s="22"/>
      <c r="I29" s="122"/>
      <c r="J29" s="22"/>
      <c r="K29" s="123"/>
      <c r="L29" s="123"/>
      <c r="M29" s="118"/>
      <c r="N29" s="124"/>
      <c r="O29" s="22"/>
      <c r="P29" s="125"/>
      <c r="Q29" s="22"/>
      <c r="R29" s="119"/>
      <c r="S29" s="126"/>
      <c r="T29" s="127"/>
      <c r="U29" s="128"/>
      <c r="V29" s="22"/>
      <c r="W29" s="119"/>
      <c r="X29" s="129"/>
      <c r="Y29" s="119"/>
      <c r="Z29" s="22"/>
      <c r="AA29" s="130"/>
      <c r="AB29" s="130"/>
      <c r="AC29" s="103"/>
      <c r="AD29" s="130"/>
      <c r="AE29" s="103"/>
      <c r="AF29" s="130"/>
      <c r="AG29" s="103"/>
      <c r="AH29" s="130"/>
      <c r="AI29" s="22"/>
      <c r="AJ29" s="131"/>
      <c r="AK29" s="22"/>
      <c r="AL29" s="122"/>
      <c r="AM29" s="132"/>
      <c r="AN29" s="103"/>
      <c r="AO29" s="132"/>
      <c r="AP29" s="126"/>
      <c r="AQ29" s="132"/>
      <c r="AR29" s="29"/>
      <c r="AS29" s="29"/>
      <c r="AT29" s="29"/>
      <c r="AU29" s="22"/>
      <c r="AV29" s="122"/>
      <c r="AW29" s="122"/>
      <c r="AX29" s="130"/>
      <c r="AY29" s="22"/>
      <c r="AZ29" s="133"/>
      <c r="BA29" s="22"/>
      <c r="BB29" s="126"/>
      <c r="BC29" s="22"/>
      <c r="BD29" s="22"/>
      <c r="BE29" s="22"/>
      <c r="BF29" s="22"/>
      <c r="BG29" s="22"/>
      <c r="BH29" s="22"/>
      <c r="BI29" s="22"/>
      <c r="BJ29" s="22"/>
      <c r="BK29" s="22"/>
    </row>
    <row r="30" spans="1:63" ht="15.75" x14ac:dyDescent="0.25">
      <c r="A30" s="120"/>
      <c r="B30" s="22"/>
      <c r="C30" s="121"/>
      <c r="D30" s="121"/>
      <c r="E30" s="122"/>
      <c r="F30" s="122"/>
      <c r="G30" s="22"/>
      <c r="H30" s="22"/>
      <c r="I30" s="122"/>
      <c r="J30" s="22"/>
      <c r="K30" s="123"/>
      <c r="L30" s="123"/>
      <c r="M30" s="118"/>
      <c r="N30" s="124"/>
      <c r="O30" s="22"/>
      <c r="P30" s="125"/>
      <c r="Q30" s="22"/>
      <c r="R30" s="119"/>
      <c r="S30" s="126"/>
      <c r="T30" s="127"/>
      <c r="U30" s="128"/>
      <c r="V30" s="22"/>
      <c r="W30" s="119"/>
      <c r="X30" s="129"/>
      <c r="Y30" s="119"/>
      <c r="Z30" s="22"/>
      <c r="AA30" s="130"/>
      <c r="AB30" s="130"/>
      <c r="AC30" s="103"/>
      <c r="AD30" s="130"/>
      <c r="AE30" s="103"/>
      <c r="AF30" s="130"/>
      <c r="AG30" s="103"/>
      <c r="AH30" s="130"/>
      <c r="AI30" s="22"/>
      <c r="AJ30" s="131"/>
      <c r="AK30" s="22"/>
      <c r="AL30" s="130"/>
      <c r="AM30" s="132"/>
      <c r="AN30" s="103"/>
      <c r="AO30" s="132"/>
      <c r="AP30" s="126"/>
      <c r="AQ30" s="132"/>
      <c r="AR30" s="29"/>
      <c r="AS30" s="29"/>
      <c r="AT30" s="29"/>
      <c r="AU30" s="22"/>
      <c r="AV30" s="122"/>
      <c r="AW30" s="122"/>
      <c r="AX30" s="130"/>
      <c r="AY30" s="22"/>
      <c r="AZ30" s="133"/>
      <c r="BA30" s="22"/>
      <c r="BB30" s="126"/>
      <c r="BC30" s="22"/>
      <c r="BD30" s="22"/>
      <c r="BE30" s="22"/>
      <c r="BF30" s="22"/>
      <c r="BG30" s="22"/>
      <c r="BH30" s="22"/>
      <c r="BI30" s="22"/>
      <c r="BJ30" s="22"/>
      <c r="BK30" s="22"/>
    </row>
    <row r="31" spans="1:63" ht="15.75" x14ac:dyDescent="0.25">
      <c r="A31" s="120"/>
      <c r="B31" s="22"/>
      <c r="C31" s="121"/>
      <c r="D31" s="121"/>
      <c r="E31" s="122"/>
      <c r="F31" s="122"/>
      <c r="G31" s="22"/>
      <c r="H31" s="22"/>
      <c r="I31" s="122"/>
      <c r="J31" s="22"/>
      <c r="K31" s="123"/>
      <c r="L31" s="123"/>
      <c r="M31" s="118"/>
      <c r="N31" s="124"/>
      <c r="O31" s="22"/>
      <c r="P31" s="125"/>
      <c r="Q31" s="22"/>
      <c r="R31" s="119"/>
      <c r="S31" s="126"/>
      <c r="T31" s="127"/>
      <c r="U31" s="128"/>
      <c r="V31" s="22"/>
      <c r="W31" s="119"/>
      <c r="X31" s="129"/>
      <c r="Y31" s="119"/>
      <c r="Z31" s="22"/>
      <c r="AA31" s="130"/>
      <c r="AB31" s="130"/>
      <c r="AC31" s="103"/>
      <c r="AD31" s="130"/>
      <c r="AE31" s="103"/>
      <c r="AF31" s="130"/>
      <c r="AG31" s="103"/>
      <c r="AH31" s="130"/>
      <c r="AI31" s="22"/>
      <c r="AJ31" s="131"/>
      <c r="AK31" s="22"/>
      <c r="AL31" s="130"/>
      <c r="AM31" s="132"/>
      <c r="AN31" s="103"/>
      <c r="AO31" s="132"/>
      <c r="AP31" s="126"/>
      <c r="AQ31" s="132"/>
      <c r="AR31" s="29"/>
      <c r="AS31" s="29"/>
      <c r="AT31" s="29"/>
      <c r="AU31" s="22"/>
      <c r="AV31" s="122"/>
      <c r="AW31" s="122"/>
      <c r="AX31" s="130"/>
      <c r="AY31" s="22"/>
      <c r="AZ31" s="133"/>
      <c r="BA31" s="22"/>
      <c r="BB31" s="126"/>
      <c r="BC31" s="22"/>
      <c r="BD31" s="22"/>
      <c r="BE31" s="22"/>
      <c r="BF31" s="22"/>
      <c r="BG31" s="22"/>
      <c r="BH31" s="22"/>
      <c r="BI31" s="22"/>
      <c r="BJ31" s="22"/>
      <c r="BK31" s="22"/>
    </row>
    <row r="32" spans="1:63" ht="15.75" x14ac:dyDescent="0.25">
      <c r="A32" s="120"/>
      <c r="B32" s="22"/>
      <c r="C32" s="121"/>
      <c r="D32" s="121"/>
      <c r="E32" s="122"/>
      <c r="F32" s="122"/>
      <c r="G32" s="22"/>
      <c r="H32" s="22"/>
      <c r="I32" s="122"/>
      <c r="J32" s="22"/>
      <c r="K32" s="123"/>
      <c r="L32" s="123"/>
      <c r="M32" s="118"/>
      <c r="N32" s="124"/>
      <c r="O32" s="22"/>
      <c r="P32" s="125"/>
      <c r="Q32" s="22"/>
      <c r="R32" s="119"/>
      <c r="S32" s="126"/>
      <c r="T32" s="127"/>
      <c r="U32" s="128"/>
      <c r="V32" s="22"/>
      <c r="W32" s="119"/>
      <c r="X32" s="138"/>
      <c r="Y32" s="119"/>
      <c r="Z32" s="22"/>
      <c r="AA32" s="130"/>
      <c r="AB32" s="130"/>
      <c r="AC32" s="103"/>
      <c r="AD32" s="130"/>
      <c r="AE32" s="103"/>
      <c r="AF32" s="130"/>
      <c r="AG32" s="103"/>
      <c r="AH32" s="130"/>
      <c r="AI32" s="22"/>
      <c r="AJ32" s="131"/>
      <c r="AK32" s="22"/>
      <c r="AL32" s="130"/>
      <c r="AM32" s="132"/>
      <c r="AN32" s="103"/>
      <c r="AO32" s="132"/>
      <c r="AP32" s="126"/>
      <c r="AQ32" s="132"/>
      <c r="AR32" s="29"/>
      <c r="AS32" s="29"/>
      <c r="AT32" s="29"/>
      <c r="AU32" s="22"/>
      <c r="AV32" s="122"/>
      <c r="AW32" s="122"/>
      <c r="AX32" s="130"/>
      <c r="AY32" s="22"/>
      <c r="AZ32" s="133"/>
      <c r="BA32" s="22"/>
      <c r="BB32" s="126"/>
      <c r="BC32" s="22"/>
      <c r="BD32" s="22"/>
      <c r="BE32" s="22"/>
      <c r="BF32" s="22"/>
      <c r="BG32" s="22"/>
      <c r="BH32" s="22"/>
      <c r="BI32" s="22"/>
      <c r="BJ32" s="22"/>
      <c r="BK32" s="22"/>
    </row>
    <row r="33" spans="1:63" ht="15.75" x14ac:dyDescent="0.25">
      <c r="A33" s="120"/>
      <c r="B33" s="22"/>
      <c r="C33" s="121"/>
      <c r="D33" s="121"/>
      <c r="E33" s="122"/>
      <c r="F33" s="122"/>
      <c r="G33" s="22"/>
      <c r="H33" s="22"/>
      <c r="I33" s="122"/>
      <c r="J33" s="22"/>
      <c r="K33" s="123"/>
      <c r="L33" s="123"/>
      <c r="M33" s="118"/>
      <c r="N33" s="124"/>
      <c r="O33" s="22"/>
      <c r="P33" s="125"/>
      <c r="Q33" s="22"/>
      <c r="R33" s="119"/>
      <c r="S33" s="126"/>
      <c r="T33" s="127"/>
      <c r="U33" s="128"/>
      <c r="V33" s="22"/>
      <c r="W33" s="119"/>
      <c r="X33" s="129"/>
      <c r="Y33" s="119"/>
      <c r="Z33" s="22"/>
      <c r="AA33" s="130"/>
      <c r="AB33" s="130"/>
      <c r="AC33" s="103"/>
      <c r="AD33" s="130"/>
      <c r="AE33" s="103"/>
      <c r="AF33" s="130"/>
      <c r="AG33" s="103"/>
      <c r="AH33" s="130"/>
      <c r="AI33" s="22"/>
      <c r="AJ33" s="131"/>
      <c r="AK33" s="22"/>
      <c r="AL33" s="130"/>
      <c r="AM33" s="132"/>
      <c r="AN33" s="103"/>
      <c r="AO33" s="132"/>
      <c r="AP33" s="126"/>
      <c r="AQ33" s="132"/>
      <c r="AR33" s="29"/>
      <c r="AS33" s="29"/>
      <c r="AT33" s="29"/>
      <c r="AU33" s="22"/>
      <c r="AV33" s="122"/>
      <c r="AW33" s="122"/>
      <c r="AX33" s="130"/>
      <c r="AY33" s="22"/>
      <c r="AZ33" s="133"/>
      <c r="BA33" s="22"/>
      <c r="BB33" s="126"/>
      <c r="BC33" s="22"/>
      <c r="BD33" s="22"/>
      <c r="BE33" s="22"/>
      <c r="BF33" s="22"/>
      <c r="BG33" s="22"/>
      <c r="BH33" s="22"/>
      <c r="BI33" s="22"/>
      <c r="BJ33" s="22"/>
      <c r="BK33" s="22"/>
    </row>
    <row r="34" spans="1:63" ht="15.75" x14ac:dyDescent="0.25">
      <c r="A34" s="120"/>
      <c r="B34" s="22"/>
      <c r="C34" s="121"/>
      <c r="D34" s="121"/>
      <c r="E34" s="122"/>
      <c r="F34" s="122"/>
      <c r="G34" s="22"/>
      <c r="H34" s="22"/>
      <c r="I34" s="122"/>
      <c r="J34" s="22"/>
      <c r="K34" s="123"/>
      <c r="L34" s="123"/>
      <c r="M34" s="118"/>
      <c r="N34" s="124"/>
      <c r="O34" s="22"/>
      <c r="P34" s="125"/>
      <c r="Q34" s="22"/>
      <c r="R34" s="119"/>
      <c r="S34" s="126"/>
      <c r="T34" s="127"/>
      <c r="U34" s="128"/>
      <c r="V34" s="22"/>
      <c r="W34" s="119"/>
      <c r="X34" s="129"/>
      <c r="Y34" s="119"/>
      <c r="Z34" s="22"/>
      <c r="AA34" s="130"/>
      <c r="AB34" s="130"/>
      <c r="AC34" s="103"/>
      <c r="AD34" s="130"/>
      <c r="AE34" s="103"/>
      <c r="AF34" s="130"/>
      <c r="AG34" s="103"/>
      <c r="AH34" s="130"/>
      <c r="AI34" s="22"/>
      <c r="AJ34" s="131"/>
      <c r="AK34" s="22"/>
      <c r="AL34" s="130"/>
      <c r="AM34" s="132"/>
      <c r="AN34" s="103"/>
      <c r="AO34" s="132"/>
      <c r="AP34" s="126"/>
      <c r="AQ34" s="132"/>
      <c r="AR34" s="29"/>
      <c r="AS34" s="29"/>
      <c r="AT34" s="29"/>
      <c r="AU34" s="22"/>
      <c r="AV34" s="122"/>
      <c r="AW34" s="122"/>
      <c r="AX34" s="130"/>
      <c r="AY34" s="22"/>
      <c r="AZ34" s="133"/>
      <c r="BA34" s="22"/>
      <c r="BB34" s="126"/>
      <c r="BC34" s="22"/>
      <c r="BD34" s="22"/>
      <c r="BE34" s="22"/>
      <c r="BF34" s="22"/>
      <c r="BG34" s="22"/>
      <c r="BH34" s="22"/>
      <c r="BI34" s="22"/>
      <c r="BJ34" s="22"/>
      <c r="BK34" s="22"/>
    </row>
    <row r="35" spans="1:63" ht="15.75" x14ac:dyDescent="0.25">
      <c r="A35" s="120"/>
      <c r="B35" s="22"/>
      <c r="C35" s="121"/>
      <c r="D35" s="121"/>
      <c r="E35" s="122"/>
      <c r="F35" s="122"/>
      <c r="G35" s="22"/>
      <c r="H35" s="22"/>
      <c r="I35" s="122"/>
      <c r="J35" s="22"/>
      <c r="K35" s="123"/>
      <c r="L35" s="123"/>
      <c r="M35" s="118"/>
      <c r="N35" s="124"/>
      <c r="O35" s="22"/>
      <c r="P35" s="125"/>
      <c r="Q35" s="22"/>
      <c r="R35" s="119"/>
      <c r="S35" s="126"/>
      <c r="T35" s="127"/>
      <c r="U35" s="128"/>
      <c r="V35" s="22"/>
      <c r="W35" s="119"/>
      <c r="X35" s="129"/>
      <c r="Y35" s="119"/>
      <c r="Z35" s="22"/>
      <c r="AA35" s="130"/>
      <c r="AB35" s="130"/>
      <c r="AC35" s="103"/>
      <c r="AD35" s="130"/>
      <c r="AE35" s="103"/>
      <c r="AF35" s="130"/>
      <c r="AG35" s="103"/>
      <c r="AH35" s="130"/>
      <c r="AI35" s="22"/>
      <c r="AJ35" s="131"/>
      <c r="AK35" s="22"/>
      <c r="AL35" s="130"/>
      <c r="AM35" s="132"/>
      <c r="AN35" s="103"/>
      <c r="AO35" s="132"/>
      <c r="AP35" s="126"/>
      <c r="AQ35" s="132"/>
      <c r="AR35" s="29"/>
      <c r="AS35" s="29"/>
      <c r="AT35" s="29"/>
      <c r="AU35" s="22"/>
      <c r="AV35" s="122"/>
      <c r="AW35" s="122"/>
      <c r="AX35" s="130"/>
      <c r="AY35" s="22"/>
      <c r="AZ35" s="133"/>
      <c r="BA35" s="22"/>
      <c r="BB35" s="126"/>
      <c r="BC35" s="22"/>
      <c r="BD35" s="22"/>
      <c r="BE35" s="22"/>
      <c r="BF35" s="22"/>
      <c r="BG35" s="22"/>
      <c r="BH35" s="22"/>
      <c r="BI35" s="22"/>
      <c r="BJ35" s="22"/>
      <c r="BK35" s="22"/>
    </row>
    <row r="36" spans="1:63" ht="15.75" x14ac:dyDescent="0.25">
      <c r="A36" s="120"/>
      <c r="B36" s="22"/>
      <c r="C36" s="121"/>
      <c r="D36" s="121"/>
      <c r="E36" s="122"/>
      <c r="F36" s="122"/>
      <c r="G36" s="22"/>
      <c r="H36" s="22"/>
      <c r="I36" s="122"/>
      <c r="J36" s="22"/>
      <c r="K36" s="123"/>
      <c r="L36" s="123"/>
      <c r="M36" s="118"/>
      <c r="N36" s="124"/>
      <c r="O36" s="22"/>
      <c r="P36" s="125"/>
      <c r="Q36" s="22"/>
      <c r="R36" s="119"/>
      <c r="S36" s="126"/>
      <c r="T36" s="127"/>
      <c r="U36" s="128"/>
      <c r="V36" s="22"/>
      <c r="W36" s="119"/>
      <c r="X36" s="129"/>
      <c r="Y36" s="119"/>
      <c r="Z36" s="22"/>
      <c r="AA36" s="130"/>
      <c r="AB36" s="130"/>
      <c r="AC36" s="103"/>
      <c r="AD36" s="130"/>
      <c r="AE36" s="103"/>
      <c r="AF36" s="130"/>
      <c r="AG36" s="103"/>
      <c r="AH36" s="130"/>
      <c r="AI36" s="22"/>
      <c r="AJ36" s="131"/>
      <c r="AK36" s="22"/>
      <c r="AL36" s="130"/>
      <c r="AM36" s="132"/>
      <c r="AN36" s="103"/>
      <c r="AO36" s="132"/>
      <c r="AP36" s="126"/>
      <c r="AQ36" s="132"/>
      <c r="AR36" s="29"/>
      <c r="AS36" s="29"/>
      <c r="AT36" s="29"/>
      <c r="AU36" s="22"/>
      <c r="AV36" s="122"/>
      <c r="AW36" s="122"/>
      <c r="AX36" s="130"/>
      <c r="AY36" s="22"/>
      <c r="AZ36" s="133"/>
      <c r="BA36" s="22"/>
      <c r="BB36" s="126"/>
      <c r="BC36" s="22"/>
      <c r="BD36" s="22"/>
      <c r="BE36" s="22"/>
      <c r="BF36" s="22"/>
      <c r="BG36" s="22"/>
      <c r="BH36" s="22"/>
      <c r="BI36" s="22"/>
      <c r="BJ36" s="22"/>
      <c r="BK36" s="22"/>
    </row>
    <row r="37" spans="1:63" ht="15.6" customHeight="1" x14ac:dyDescent="0.25">
      <c r="A37" s="28"/>
      <c r="B37" s="134"/>
      <c r="C37" s="22"/>
      <c r="D37" s="22"/>
      <c r="E37" s="27"/>
      <c r="F37" s="27"/>
      <c r="G37" s="17"/>
      <c r="H37" s="17"/>
      <c r="I37" s="139"/>
      <c r="J37" s="17"/>
      <c r="K37" s="20"/>
      <c r="L37" s="20"/>
      <c r="M37" s="26"/>
      <c r="N37" s="98"/>
      <c r="O37" s="17"/>
      <c r="P37" s="25"/>
      <c r="Q37" s="17"/>
      <c r="R37" s="118"/>
      <c r="S37" s="140"/>
      <c r="T37" s="98"/>
      <c r="U37" s="17"/>
      <c r="V37" s="17"/>
      <c r="W37" s="17"/>
      <c r="X37" s="135"/>
      <c r="Y37" s="119"/>
      <c r="Z37" s="17"/>
      <c r="AA37" s="22"/>
      <c r="AB37" s="22"/>
      <c r="AC37" s="22"/>
      <c r="AD37" s="22"/>
      <c r="AE37" s="23"/>
      <c r="AF37" s="23"/>
      <c r="AG37" s="22"/>
      <c r="AH37" s="22"/>
      <c r="AI37" s="17"/>
      <c r="AJ37" s="21"/>
      <c r="AK37" s="17"/>
      <c r="AL37" s="17"/>
      <c r="AM37" s="17"/>
      <c r="AN37" s="17"/>
      <c r="AO37" s="17"/>
      <c r="AP37" s="25"/>
      <c r="AQ37" s="17"/>
      <c r="AR37" s="16"/>
      <c r="AS37" s="16"/>
      <c r="AT37" s="16"/>
      <c r="AU37" s="17"/>
      <c r="AV37" s="16"/>
      <c r="AW37" s="16"/>
      <c r="AX37" s="16"/>
      <c r="AY37" s="17"/>
      <c r="AZ37" s="21"/>
      <c r="BA37" s="17"/>
      <c r="BB37" s="103"/>
      <c r="BC37" s="17"/>
      <c r="BD37" s="17"/>
      <c r="BE37" s="17"/>
      <c r="BF37" s="17"/>
      <c r="BG37" s="17"/>
      <c r="BH37" s="17"/>
      <c r="BI37" s="17"/>
      <c r="BJ37" s="17"/>
      <c r="BK37" s="17"/>
    </row>
    <row r="38" spans="1:63" ht="18.75" x14ac:dyDescent="0.25">
      <c r="A38" s="28"/>
      <c r="B38" s="22"/>
      <c r="C38" s="22"/>
      <c r="D38" s="22"/>
      <c r="E38" s="27"/>
      <c r="F38" s="27"/>
      <c r="G38" s="17"/>
      <c r="H38" s="17"/>
      <c r="I38" s="17"/>
      <c r="J38" s="17"/>
      <c r="K38" s="20"/>
      <c r="L38" s="20"/>
      <c r="M38" s="26"/>
      <c r="N38" s="98"/>
      <c r="O38" s="17"/>
      <c r="P38" s="25"/>
      <c r="Q38" s="17"/>
      <c r="R38" s="118"/>
      <c r="S38" s="24"/>
      <c r="T38" s="98"/>
      <c r="U38" s="17"/>
      <c r="V38" s="17"/>
      <c r="W38" s="17"/>
      <c r="X38" s="135"/>
      <c r="Y38" s="119"/>
      <c r="Z38" s="17"/>
      <c r="AA38" s="22"/>
      <c r="AB38" s="22"/>
      <c r="AC38" s="22"/>
      <c r="AD38" s="22"/>
      <c r="AE38" s="23"/>
      <c r="AF38" s="23"/>
      <c r="AG38" s="22"/>
      <c r="AH38" s="130"/>
      <c r="AI38" s="17"/>
      <c r="AJ38" s="21"/>
      <c r="AK38" s="17"/>
      <c r="AL38" s="17"/>
      <c r="AM38" s="17"/>
      <c r="AN38" s="17"/>
      <c r="AO38" s="17"/>
      <c r="AP38" s="25"/>
      <c r="AQ38" s="17"/>
      <c r="AR38" s="16"/>
      <c r="AS38" s="16"/>
      <c r="AT38" s="16"/>
      <c r="AU38" s="17"/>
      <c r="AV38" s="16"/>
      <c r="AW38" s="16"/>
      <c r="AX38" s="16"/>
      <c r="AY38" s="17"/>
      <c r="AZ38" s="21"/>
      <c r="BA38" s="17"/>
      <c r="BB38" s="20"/>
      <c r="BC38" s="17"/>
      <c r="BD38" s="17"/>
      <c r="BE38" s="17"/>
      <c r="BF38" s="17"/>
      <c r="BG38" s="17"/>
      <c r="BH38" s="17"/>
      <c r="BI38" s="17"/>
      <c r="BJ38" s="17"/>
      <c r="BK38" s="17"/>
    </row>
    <row r="39" spans="1:63" ht="15.95" customHeight="1" x14ac:dyDescent="0.25">
      <c r="A39" s="120"/>
      <c r="B39" s="22"/>
      <c r="C39" s="121"/>
      <c r="D39" s="121"/>
      <c r="E39" s="122"/>
      <c r="F39" s="122"/>
      <c r="G39" s="22"/>
      <c r="H39" s="22"/>
      <c r="I39" s="122"/>
      <c r="J39" s="22"/>
      <c r="K39" s="123"/>
      <c r="L39" s="123"/>
      <c r="M39" s="118"/>
      <c r="N39" s="124"/>
      <c r="O39" s="22"/>
      <c r="P39" s="125"/>
      <c r="Q39" s="22"/>
      <c r="R39" s="119"/>
      <c r="S39" s="126"/>
      <c r="T39" s="127"/>
      <c r="U39" s="128"/>
      <c r="V39" s="22"/>
      <c r="W39" s="119"/>
      <c r="X39" s="138"/>
      <c r="Y39" s="119"/>
      <c r="Z39" s="22"/>
      <c r="AA39" s="130"/>
      <c r="AB39" s="130"/>
      <c r="AC39" s="103"/>
      <c r="AD39" s="130"/>
      <c r="AE39" s="103"/>
      <c r="AF39" s="130"/>
      <c r="AG39" s="103"/>
      <c r="AH39" s="130"/>
      <c r="AI39" s="22"/>
      <c r="AJ39" s="131"/>
      <c r="AK39" s="22"/>
      <c r="AL39" s="130"/>
      <c r="AM39" s="132"/>
      <c r="AN39" s="103"/>
      <c r="AO39" s="132"/>
      <c r="AP39" s="126"/>
      <c r="AQ39" s="132"/>
      <c r="AR39" s="29"/>
      <c r="AS39" s="29"/>
      <c r="AT39" s="29"/>
      <c r="AU39" s="22"/>
      <c r="AV39" s="122"/>
      <c r="AW39" s="122"/>
      <c r="AX39" s="130"/>
      <c r="AY39" s="22"/>
      <c r="AZ39" s="133"/>
      <c r="BA39" s="22"/>
      <c r="BB39" s="126"/>
      <c r="BC39" s="22"/>
      <c r="BD39" s="22"/>
      <c r="BE39" s="22"/>
      <c r="BF39" s="22"/>
      <c r="BG39" s="22"/>
      <c r="BH39" s="22"/>
      <c r="BI39" s="22"/>
      <c r="BJ39" s="22"/>
      <c r="BK39" s="22"/>
    </row>
    <row r="40" spans="1:63" ht="15.75" x14ac:dyDescent="0.25">
      <c r="A40" s="120"/>
      <c r="B40" s="22"/>
      <c r="C40" s="121"/>
      <c r="D40" s="121"/>
      <c r="E40" s="122"/>
      <c r="F40" s="122"/>
      <c r="G40" s="22"/>
      <c r="H40" s="22"/>
      <c r="I40" s="122"/>
      <c r="J40" s="22"/>
      <c r="K40" s="123"/>
      <c r="L40" s="123"/>
      <c r="M40" s="118"/>
      <c r="N40" s="124"/>
      <c r="O40" s="22"/>
      <c r="P40" s="125"/>
      <c r="Q40" s="22"/>
      <c r="R40" s="119"/>
      <c r="S40" s="126"/>
      <c r="T40" s="127"/>
      <c r="U40" s="128"/>
      <c r="V40" s="22"/>
      <c r="W40" s="119"/>
      <c r="X40" s="129"/>
      <c r="Y40" s="119"/>
      <c r="Z40" s="22"/>
      <c r="AA40" s="130"/>
      <c r="AB40" s="130"/>
      <c r="AC40" s="103"/>
      <c r="AD40" s="130"/>
      <c r="AE40" s="103"/>
      <c r="AF40" s="130"/>
      <c r="AG40" s="103"/>
      <c r="AH40" s="130"/>
      <c r="AI40" s="22"/>
      <c r="AJ40" s="131"/>
      <c r="AK40" s="22"/>
      <c r="AL40" s="130"/>
      <c r="AM40" s="132"/>
      <c r="AN40" s="103"/>
      <c r="AO40" s="132"/>
      <c r="AP40" s="126"/>
      <c r="AQ40" s="132"/>
      <c r="AR40" s="29"/>
      <c r="AS40" s="29"/>
      <c r="AT40" s="29"/>
      <c r="AU40" s="22"/>
      <c r="AV40" s="122"/>
      <c r="AW40" s="122"/>
      <c r="AX40" s="130"/>
      <c r="AY40" s="22"/>
      <c r="AZ40" s="133"/>
      <c r="BA40" s="22"/>
      <c r="BB40" s="126"/>
      <c r="BC40" s="22"/>
      <c r="BD40" s="22"/>
      <c r="BE40" s="22"/>
      <c r="BF40" s="22"/>
      <c r="BG40" s="22"/>
      <c r="BH40" s="22"/>
      <c r="BI40" s="22"/>
      <c r="BJ40" s="22"/>
      <c r="BK40" s="22"/>
    </row>
    <row r="41" spans="1:63" ht="15.95" customHeight="1" x14ac:dyDescent="0.25">
      <c r="A41" s="120"/>
      <c r="B41" s="22"/>
      <c r="C41" s="121"/>
      <c r="D41" s="121"/>
      <c r="E41" s="122"/>
      <c r="F41" s="122"/>
      <c r="G41" s="22"/>
      <c r="H41" s="22"/>
      <c r="I41" s="122"/>
      <c r="J41" s="22"/>
      <c r="K41" s="123"/>
      <c r="L41" s="123"/>
      <c r="M41" s="118"/>
      <c r="N41" s="124"/>
      <c r="O41" s="22"/>
      <c r="P41" s="125"/>
      <c r="Q41" s="22"/>
      <c r="R41" s="119"/>
      <c r="S41" s="126"/>
      <c r="T41" s="127"/>
      <c r="U41" s="128"/>
      <c r="V41" s="22"/>
      <c r="W41" s="119"/>
      <c r="X41" s="138"/>
      <c r="Y41" s="119"/>
      <c r="Z41" s="22"/>
      <c r="AA41" s="130"/>
      <c r="AB41" s="130"/>
      <c r="AC41" s="103"/>
      <c r="AD41" s="130"/>
      <c r="AE41" s="103"/>
      <c r="AF41" s="130"/>
      <c r="AG41" s="103"/>
      <c r="AH41" s="130"/>
      <c r="AI41" s="22"/>
      <c r="AJ41" s="131"/>
      <c r="AK41" s="22"/>
      <c r="AL41" s="130"/>
      <c r="AM41" s="132"/>
      <c r="AN41" s="103"/>
      <c r="AO41" s="132"/>
      <c r="AP41" s="126"/>
      <c r="AQ41" s="132"/>
      <c r="AR41" s="29"/>
      <c r="AS41" s="29"/>
      <c r="AT41" s="29"/>
      <c r="AU41" s="22"/>
      <c r="AV41" s="122"/>
      <c r="AW41" s="122"/>
      <c r="AX41" s="130"/>
      <c r="AY41" s="22"/>
      <c r="AZ41" s="133"/>
      <c r="BA41" s="22"/>
      <c r="BB41" s="126"/>
      <c r="BC41" s="22"/>
      <c r="BD41" s="22"/>
      <c r="BE41" s="22"/>
      <c r="BF41" s="22"/>
      <c r="BG41" s="22"/>
      <c r="BH41" s="22"/>
      <c r="BI41" s="22"/>
      <c r="BJ41" s="22"/>
      <c r="BK41" s="22"/>
    </row>
    <row r="42" spans="1:63" ht="15.75" x14ac:dyDescent="0.25">
      <c r="A42" s="120"/>
      <c r="B42" s="22"/>
      <c r="C42" s="121"/>
      <c r="D42" s="121"/>
      <c r="E42" s="122"/>
      <c r="F42" s="122"/>
      <c r="G42" s="22"/>
      <c r="H42" s="22"/>
      <c r="I42" s="122"/>
      <c r="J42" s="22"/>
      <c r="K42" s="123"/>
      <c r="L42" s="123"/>
      <c r="M42" s="118"/>
      <c r="N42" s="124"/>
      <c r="O42" s="22"/>
      <c r="P42" s="125"/>
      <c r="Q42" s="22"/>
      <c r="R42" s="119"/>
      <c r="S42" s="126"/>
      <c r="T42" s="127"/>
      <c r="U42" s="128"/>
      <c r="V42" s="22"/>
      <c r="W42" s="119"/>
      <c r="X42" s="138"/>
      <c r="Y42" s="119"/>
      <c r="Z42" s="22"/>
      <c r="AA42" s="130"/>
      <c r="AB42" s="130"/>
      <c r="AC42" s="103"/>
      <c r="AD42" s="130"/>
      <c r="AE42" s="103"/>
      <c r="AF42" s="130"/>
      <c r="AG42" s="103"/>
      <c r="AH42" s="130"/>
      <c r="AI42" s="22"/>
      <c r="AJ42" s="131"/>
      <c r="AK42" s="22"/>
      <c r="AL42" s="130"/>
      <c r="AM42" s="132"/>
      <c r="AN42" s="103"/>
      <c r="AO42" s="132"/>
      <c r="AP42" s="126"/>
      <c r="AQ42" s="132"/>
      <c r="AR42" s="29"/>
      <c r="AS42" s="29"/>
      <c r="AT42" s="29"/>
      <c r="AU42" s="22"/>
      <c r="AV42" s="122"/>
      <c r="AW42" s="122"/>
      <c r="AX42" s="130"/>
      <c r="AY42" s="22"/>
      <c r="AZ42" s="133"/>
      <c r="BA42" s="22"/>
      <c r="BB42" s="126"/>
      <c r="BC42" s="22"/>
      <c r="BD42" s="22"/>
      <c r="BE42" s="22"/>
      <c r="BF42" s="22"/>
      <c r="BG42" s="22"/>
      <c r="BH42" s="22"/>
      <c r="BI42" s="22"/>
      <c r="BJ42" s="22"/>
      <c r="BK42" s="22"/>
    </row>
    <row r="43" spans="1:63" ht="15.95" customHeight="1" x14ac:dyDescent="0.25">
      <c r="A43" s="120"/>
      <c r="B43" s="22"/>
      <c r="C43" s="121"/>
      <c r="D43" s="121"/>
      <c r="E43" s="122"/>
      <c r="F43" s="122"/>
      <c r="G43" s="22"/>
      <c r="H43" s="22"/>
      <c r="I43" s="122"/>
      <c r="J43" s="22"/>
      <c r="K43" s="123"/>
      <c r="L43" s="123"/>
      <c r="M43" s="118"/>
      <c r="N43" s="124"/>
      <c r="O43" s="22"/>
      <c r="P43" s="125"/>
      <c r="Q43" s="22"/>
      <c r="R43" s="119"/>
      <c r="S43" s="126"/>
      <c r="T43" s="127"/>
      <c r="U43" s="128"/>
      <c r="V43" s="22"/>
      <c r="W43" s="119"/>
      <c r="X43" s="138"/>
      <c r="Y43" s="119"/>
      <c r="Z43" s="22"/>
      <c r="AA43" s="130"/>
      <c r="AB43" s="130"/>
      <c r="AC43" s="103"/>
      <c r="AD43" s="130"/>
      <c r="AE43" s="103"/>
      <c r="AF43" s="130"/>
      <c r="AG43" s="103"/>
      <c r="AH43" s="130"/>
      <c r="AI43" s="22"/>
      <c r="AJ43" s="131"/>
      <c r="AK43" s="22"/>
      <c r="AL43" s="130"/>
      <c r="AM43" s="132"/>
      <c r="AN43" s="103"/>
      <c r="AO43" s="132"/>
      <c r="AP43" s="126"/>
      <c r="AQ43" s="132"/>
      <c r="AR43" s="29"/>
      <c r="AS43" s="29"/>
      <c r="AT43" s="29"/>
      <c r="AU43" s="22"/>
      <c r="AV43" s="122"/>
      <c r="AW43" s="122"/>
      <c r="AX43" s="130"/>
      <c r="AY43" s="22"/>
      <c r="AZ43" s="133"/>
      <c r="BA43" s="22"/>
      <c r="BB43" s="126"/>
      <c r="BC43" s="22"/>
      <c r="BD43" s="22"/>
      <c r="BE43" s="22"/>
      <c r="BF43" s="22"/>
      <c r="BG43" s="22"/>
      <c r="BH43" s="22"/>
      <c r="BI43" s="22"/>
      <c r="BJ43" s="22"/>
      <c r="BK43" s="22"/>
    </row>
    <row r="44" spans="1:63" ht="15.75" x14ac:dyDescent="0.25">
      <c r="A44" s="120"/>
      <c r="B44" s="22"/>
      <c r="C44" s="121"/>
      <c r="D44" s="121"/>
      <c r="E44" s="122"/>
      <c r="F44" s="122"/>
      <c r="G44" s="22"/>
      <c r="H44" s="22"/>
      <c r="I44" s="122"/>
      <c r="J44" s="22"/>
      <c r="K44" s="123"/>
      <c r="L44" s="123"/>
      <c r="M44" s="118"/>
      <c r="N44" s="124"/>
      <c r="O44" s="22"/>
      <c r="P44" s="125"/>
      <c r="Q44" s="22"/>
      <c r="R44" s="119"/>
      <c r="S44" s="126"/>
      <c r="T44" s="127"/>
      <c r="U44" s="128"/>
      <c r="V44" s="22"/>
      <c r="W44" s="119"/>
      <c r="X44" s="129"/>
      <c r="Y44" s="119"/>
      <c r="Z44" s="22"/>
      <c r="AA44" s="130"/>
      <c r="AB44" s="130"/>
      <c r="AC44" s="103"/>
      <c r="AD44" s="130"/>
      <c r="AE44" s="103"/>
      <c r="AF44" s="130"/>
      <c r="AG44" s="103"/>
      <c r="AH44" s="130"/>
      <c r="AI44" s="22"/>
      <c r="AJ44" s="131"/>
      <c r="AK44" s="22"/>
      <c r="AL44" s="130"/>
      <c r="AM44" s="132"/>
      <c r="AN44" s="103"/>
      <c r="AO44" s="132"/>
      <c r="AP44" s="126"/>
      <c r="AQ44" s="132"/>
      <c r="AR44" s="29"/>
      <c r="AS44" s="29"/>
      <c r="AT44" s="29"/>
      <c r="AU44" s="22"/>
      <c r="AV44" s="122"/>
      <c r="AW44" s="122"/>
      <c r="AX44" s="130"/>
      <c r="AY44" s="22"/>
      <c r="AZ44" s="133"/>
      <c r="BA44" s="22"/>
      <c r="BB44" s="126"/>
      <c r="BC44" s="22"/>
      <c r="BD44" s="22"/>
      <c r="BE44" s="22"/>
      <c r="BF44" s="22"/>
      <c r="BG44" s="22"/>
      <c r="BH44" s="22"/>
      <c r="BI44" s="22"/>
      <c r="BJ44" s="22"/>
      <c r="BK44" s="22"/>
    </row>
    <row r="45" spans="1:63" ht="15.95" customHeight="1" x14ac:dyDescent="0.25">
      <c r="A45" s="120"/>
      <c r="B45" s="22"/>
      <c r="C45" s="121"/>
      <c r="D45" s="121"/>
      <c r="E45" s="122"/>
      <c r="F45" s="122"/>
      <c r="G45" s="22"/>
      <c r="H45" s="22"/>
      <c r="I45" s="122"/>
      <c r="J45" s="22"/>
      <c r="K45" s="123"/>
      <c r="L45" s="123"/>
      <c r="M45" s="118"/>
      <c r="N45" s="124"/>
      <c r="O45" s="22"/>
      <c r="P45" s="125"/>
      <c r="Q45" s="22"/>
      <c r="R45" s="119"/>
      <c r="S45" s="126"/>
      <c r="T45" s="127"/>
      <c r="U45" s="128"/>
      <c r="V45" s="22"/>
      <c r="W45" s="119"/>
      <c r="X45" s="129"/>
      <c r="Y45" s="119"/>
      <c r="Z45" s="22"/>
      <c r="AA45" s="130"/>
      <c r="AB45" s="130"/>
      <c r="AC45" s="103"/>
      <c r="AD45" s="130"/>
      <c r="AE45" s="103"/>
      <c r="AF45" s="130"/>
      <c r="AG45" s="103"/>
      <c r="AH45" s="130"/>
      <c r="AI45" s="22"/>
      <c r="AJ45" s="131"/>
      <c r="AK45" s="22"/>
      <c r="AL45" s="130"/>
      <c r="AM45" s="132"/>
      <c r="AN45" s="103"/>
      <c r="AO45" s="132"/>
      <c r="AP45" s="126"/>
      <c r="AQ45" s="132"/>
      <c r="AR45" s="29"/>
      <c r="AS45" s="29"/>
      <c r="AT45" s="29"/>
      <c r="AU45" s="22"/>
      <c r="AV45" s="122"/>
      <c r="AW45" s="122"/>
      <c r="AX45" s="130"/>
      <c r="AY45" s="22"/>
      <c r="AZ45" s="133"/>
      <c r="BA45" s="22"/>
      <c r="BB45" s="126"/>
      <c r="BC45" s="22"/>
      <c r="BD45" s="22"/>
      <c r="BE45" s="22"/>
      <c r="BF45" s="22"/>
      <c r="BG45" s="22"/>
      <c r="BH45" s="22"/>
      <c r="BI45" s="22"/>
      <c r="BJ45" s="22"/>
      <c r="BK45" s="22"/>
    </row>
    <row r="46" spans="1:63" ht="15.6" customHeight="1" x14ac:dyDescent="0.25">
      <c r="A46" s="28"/>
      <c r="B46" s="134"/>
      <c r="C46" s="22"/>
      <c r="D46" s="22"/>
      <c r="E46" s="27"/>
      <c r="F46" s="27"/>
      <c r="G46" s="17"/>
      <c r="H46" s="17"/>
      <c r="I46" s="17"/>
      <c r="J46" s="17"/>
      <c r="K46" s="20"/>
      <c r="L46" s="20"/>
      <c r="M46" s="26"/>
      <c r="N46" s="98"/>
      <c r="O46" s="17"/>
      <c r="P46" s="25"/>
      <c r="Q46" s="17"/>
      <c r="R46" s="118"/>
      <c r="S46" s="24"/>
      <c r="T46" s="98"/>
      <c r="U46" s="17"/>
      <c r="V46" s="17"/>
      <c r="W46" s="17"/>
      <c r="X46" s="135"/>
      <c r="Y46" s="119"/>
      <c r="Z46" s="17"/>
      <c r="AA46" s="22"/>
      <c r="AB46" s="22"/>
      <c r="AC46" s="22"/>
      <c r="AD46" s="22"/>
      <c r="AE46" s="23"/>
      <c r="AF46" s="23"/>
      <c r="AG46" s="22"/>
      <c r="AH46" s="22"/>
      <c r="AI46" s="17"/>
      <c r="AJ46" s="21"/>
      <c r="AK46" s="17"/>
      <c r="AL46" s="17"/>
      <c r="AM46" s="17"/>
      <c r="AN46" s="17"/>
      <c r="AO46" s="17"/>
      <c r="AP46" s="25"/>
      <c r="AQ46" s="17"/>
      <c r="AR46" s="16"/>
      <c r="AS46" s="16"/>
      <c r="AT46" s="16"/>
      <c r="AU46" s="17"/>
      <c r="AV46" s="16"/>
      <c r="AW46" s="16"/>
      <c r="AX46" s="16"/>
      <c r="AY46" s="17"/>
      <c r="AZ46" s="21"/>
      <c r="BA46" s="17"/>
      <c r="BB46" s="20"/>
      <c r="BC46" s="17"/>
      <c r="BD46" s="17"/>
      <c r="BE46" s="17"/>
      <c r="BF46" s="22"/>
      <c r="BG46" s="17"/>
      <c r="BH46" s="17"/>
      <c r="BI46" s="17"/>
      <c r="BJ46" s="17"/>
      <c r="BK46" s="17"/>
    </row>
    <row r="47" spans="1:63" ht="18.75" x14ac:dyDescent="0.25">
      <c r="A47" s="28"/>
      <c r="B47" s="22"/>
      <c r="C47" s="22"/>
      <c r="D47" s="22"/>
      <c r="E47" s="27"/>
      <c r="F47" s="27"/>
      <c r="G47" s="17"/>
      <c r="H47" s="17"/>
      <c r="I47" s="17"/>
      <c r="J47" s="17"/>
      <c r="K47" s="20"/>
      <c r="L47" s="20"/>
      <c r="M47" s="26"/>
      <c r="N47" s="98"/>
      <c r="O47" s="17"/>
      <c r="P47" s="25"/>
      <c r="Q47" s="17"/>
      <c r="R47" s="118"/>
      <c r="S47" s="24"/>
      <c r="T47" s="98"/>
      <c r="U47" s="17"/>
      <c r="V47" s="17"/>
      <c r="W47" s="17"/>
      <c r="X47" s="135"/>
      <c r="Y47" s="119"/>
      <c r="Z47" s="17"/>
      <c r="AA47" s="22"/>
      <c r="AB47" s="22"/>
      <c r="AC47" s="22"/>
      <c r="AD47" s="22"/>
      <c r="AE47" s="23"/>
      <c r="AF47" s="23"/>
      <c r="AG47" s="22"/>
      <c r="AH47" s="22"/>
      <c r="AI47" s="17"/>
      <c r="AJ47" s="21"/>
      <c r="AK47" s="17"/>
      <c r="AL47" s="17"/>
      <c r="AM47" s="17"/>
      <c r="AN47" s="17"/>
      <c r="AO47" s="17"/>
      <c r="AP47" s="25"/>
      <c r="AQ47" s="17"/>
      <c r="AR47" s="16"/>
      <c r="AS47" s="16"/>
      <c r="AT47" s="16"/>
      <c r="AU47" s="17"/>
      <c r="AV47" s="16"/>
      <c r="AW47" s="16"/>
      <c r="AX47" s="16"/>
      <c r="AY47" s="17"/>
      <c r="AZ47" s="21"/>
      <c r="BA47" s="17"/>
      <c r="BB47" s="20"/>
      <c r="BC47" s="17"/>
      <c r="BD47" s="17"/>
      <c r="BE47" s="17"/>
      <c r="BF47" s="17"/>
      <c r="BG47" s="17"/>
      <c r="BH47" s="17"/>
      <c r="BI47" s="17"/>
      <c r="BJ47" s="17"/>
      <c r="BK47" s="17"/>
    </row>
    <row r="48" spans="1:63" ht="15.75" x14ac:dyDescent="0.25">
      <c r="A48" s="120"/>
      <c r="B48" s="22"/>
      <c r="C48" s="121"/>
      <c r="D48" s="121"/>
      <c r="E48" s="122"/>
      <c r="F48" s="122"/>
      <c r="G48" s="22"/>
      <c r="H48" s="22"/>
      <c r="I48" s="122"/>
      <c r="J48" s="22"/>
      <c r="K48" s="123"/>
      <c r="L48" s="123"/>
      <c r="M48" s="118"/>
      <c r="N48" s="124"/>
      <c r="O48" s="22"/>
      <c r="P48" s="125"/>
      <c r="Q48" s="22"/>
      <c r="R48" s="119"/>
      <c r="S48" s="140"/>
      <c r="T48" s="127"/>
      <c r="U48" s="128"/>
      <c r="V48" s="22"/>
      <c r="W48" s="119"/>
      <c r="X48" s="129"/>
      <c r="Y48" s="119"/>
      <c r="Z48" s="22"/>
      <c r="AA48" s="130"/>
      <c r="AB48" s="130"/>
      <c r="AC48" s="103"/>
      <c r="AD48" s="130"/>
      <c r="AE48" s="103"/>
      <c r="AF48" s="130"/>
      <c r="AG48" s="103"/>
      <c r="AH48" s="130"/>
      <c r="AI48" s="22"/>
      <c r="AJ48" s="131"/>
      <c r="AK48" s="22"/>
      <c r="AL48" s="130"/>
      <c r="AM48" s="132"/>
      <c r="AN48" s="103"/>
      <c r="AO48" s="132"/>
      <c r="AP48" s="126"/>
      <c r="AQ48" s="132"/>
      <c r="AR48" s="29"/>
      <c r="AS48" s="29"/>
      <c r="AT48" s="29"/>
      <c r="AU48" s="22"/>
      <c r="AV48" s="122"/>
      <c r="AW48" s="130"/>
      <c r="AX48" s="130"/>
      <c r="AY48" s="22"/>
      <c r="AZ48" s="133"/>
      <c r="BA48" s="22"/>
      <c r="BB48" s="126"/>
      <c r="BC48" s="22"/>
      <c r="BD48" s="22"/>
      <c r="BE48" s="22"/>
      <c r="BF48" s="22"/>
      <c r="BG48" s="22"/>
      <c r="BH48" s="22"/>
      <c r="BI48" s="22"/>
      <c r="BJ48" s="22"/>
      <c r="BK48" s="22"/>
    </row>
    <row r="49" spans="1:63" ht="15.95" customHeight="1" x14ac:dyDescent="0.25">
      <c r="A49" s="120"/>
      <c r="B49" s="22"/>
      <c r="C49" s="121"/>
      <c r="D49" s="121"/>
      <c r="E49" s="122"/>
      <c r="F49" s="122"/>
      <c r="G49" s="22"/>
      <c r="H49" s="22"/>
      <c r="I49" s="122"/>
      <c r="J49" s="22"/>
      <c r="K49" s="123"/>
      <c r="L49" s="123"/>
      <c r="M49" s="118"/>
      <c r="N49" s="124"/>
      <c r="O49" s="22"/>
      <c r="P49" s="125"/>
      <c r="Q49" s="22"/>
      <c r="R49" s="119"/>
      <c r="S49" s="140"/>
      <c r="T49" s="127"/>
      <c r="U49" s="128"/>
      <c r="V49" s="22"/>
      <c r="W49" s="119"/>
      <c r="X49" s="129"/>
      <c r="Y49" s="119"/>
      <c r="Z49" s="22"/>
      <c r="AA49" s="130"/>
      <c r="AB49" s="130"/>
      <c r="AC49" s="103"/>
      <c r="AD49" s="130"/>
      <c r="AE49" s="103"/>
      <c r="AF49" s="130"/>
      <c r="AG49" s="103"/>
      <c r="AH49" s="130"/>
      <c r="AI49" s="22"/>
      <c r="AJ49" s="131"/>
      <c r="AK49" s="22"/>
      <c r="AL49" s="130"/>
      <c r="AM49" s="132"/>
      <c r="AN49" s="103"/>
      <c r="AO49" s="132"/>
      <c r="AP49" s="126"/>
      <c r="AQ49" s="132"/>
      <c r="AR49" s="29"/>
      <c r="AS49" s="29"/>
      <c r="AT49" s="29"/>
      <c r="AU49" s="22"/>
      <c r="AV49" s="122"/>
      <c r="AW49" s="130"/>
      <c r="AX49" s="130"/>
      <c r="AY49" s="22"/>
      <c r="AZ49" s="133"/>
      <c r="BA49" s="22"/>
      <c r="BB49" s="126"/>
      <c r="BC49" s="22"/>
      <c r="BD49" s="22"/>
      <c r="BE49" s="22"/>
      <c r="BF49" s="22"/>
      <c r="BG49" s="22"/>
      <c r="BH49" s="22"/>
      <c r="BI49" s="22"/>
      <c r="BJ49" s="22"/>
      <c r="BK49" s="22"/>
    </row>
    <row r="50" spans="1:63" ht="15.75" x14ac:dyDescent="0.25">
      <c r="A50" s="120"/>
      <c r="B50" s="22"/>
      <c r="C50" s="121"/>
      <c r="D50" s="121"/>
      <c r="E50" s="122"/>
      <c r="F50" s="122"/>
      <c r="G50" s="22"/>
      <c r="H50" s="22"/>
      <c r="I50" s="122"/>
      <c r="J50" s="22"/>
      <c r="K50" s="123"/>
      <c r="L50" s="123"/>
      <c r="M50" s="118"/>
      <c r="N50" s="124"/>
      <c r="O50" s="22"/>
      <c r="P50" s="125"/>
      <c r="Q50" s="22"/>
      <c r="R50" s="119"/>
      <c r="S50" s="140"/>
      <c r="T50" s="127"/>
      <c r="U50" s="128"/>
      <c r="V50" s="22"/>
      <c r="W50" s="119"/>
      <c r="X50" s="138"/>
      <c r="Y50" s="119"/>
      <c r="Z50" s="22"/>
      <c r="AA50" s="130"/>
      <c r="AB50" s="130"/>
      <c r="AC50" s="103"/>
      <c r="AD50" s="130"/>
      <c r="AE50" s="103"/>
      <c r="AF50" s="130"/>
      <c r="AG50" s="103"/>
      <c r="AH50" s="130"/>
      <c r="AI50" s="22"/>
      <c r="AJ50" s="131"/>
      <c r="AK50" s="22"/>
      <c r="AL50" s="130"/>
      <c r="AM50" s="132"/>
      <c r="AN50" s="103"/>
      <c r="AO50" s="132"/>
      <c r="AP50" s="126"/>
      <c r="AQ50" s="132"/>
      <c r="AR50" s="29"/>
      <c r="AS50" s="29"/>
      <c r="AT50" s="29"/>
      <c r="AU50" s="22"/>
      <c r="AV50" s="122"/>
      <c r="AW50" s="130"/>
      <c r="AX50" s="130"/>
      <c r="AY50" s="22"/>
      <c r="AZ50" s="22"/>
      <c r="BA50" s="22"/>
      <c r="BB50" s="126"/>
      <c r="BC50" s="22"/>
      <c r="BD50" s="22"/>
      <c r="BE50" s="22"/>
      <c r="BF50" s="22"/>
      <c r="BG50" s="22"/>
      <c r="BH50" s="22"/>
      <c r="BI50" s="22"/>
      <c r="BJ50" s="22"/>
      <c r="BK50" s="22"/>
    </row>
    <row r="51" spans="1:63" ht="15.75" x14ac:dyDescent="0.25">
      <c r="A51" s="120"/>
      <c r="B51" s="22"/>
      <c r="C51" s="121"/>
      <c r="D51" s="121"/>
      <c r="E51" s="122"/>
      <c r="F51" s="122"/>
      <c r="G51" s="22"/>
      <c r="H51" s="22"/>
      <c r="I51" s="122"/>
      <c r="J51" s="22"/>
      <c r="K51" s="123"/>
      <c r="L51" s="123"/>
      <c r="M51" s="118"/>
      <c r="N51" s="124"/>
      <c r="O51" s="22"/>
      <c r="P51" s="125"/>
      <c r="Q51" s="22"/>
      <c r="R51" s="119"/>
      <c r="S51" s="140"/>
      <c r="T51" s="127"/>
      <c r="U51" s="128"/>
      <c r="V51" s="22"/>
      <c r="W51" s="119"/>
      <c r="X51" s="138"/>
      <c r="Y51" s="119"/>
      <c r="Z51" s="22"/>
      <c r="AA51" s="130"/>
      <c r="AB51" s="130"/>
      <c r="AC51" s="103"/>
      <c r="AD51" s="130"/>
      <c r="AE51" s="103"/>
      <c r="AF51" s="130"/>
      <c r="AG51" s="103"/>
      <c r="AH51" s="130"/>
      <c r="AI51" s="22"/>
      <c r="AJ51" s="131"/>
      <c r="AK51" s="22"/>
      <c r="AL51" s="130"/>
      <c r="AM51" s="132"/>
      <c r="AN51" s="103"/>
      <c r="AO51" s="132"/>
      <c r="AP51" s="126"/>
      <c r="AQ51" s="132"/>
      <c r="AR51" s="29"/>
      <c r="AS51" s="29"/>
      <c r="AT51" s="29"/>
      <c r="AU51" s="22"/>
      <c r="AV51" s="122"/>
      <c r="AW51" s="130"/>
      <c r="AX51" s="130"/>
      <c r="AY51" s="22"/>
      <c r="AZ51" s="133"/>
      <c r="BA51" s="22"/>
      <c r="BB51" s="126"/>
      <c r="BC51" s="22"/>
      <c r="BD51" s="22"/>
      <c r="BE51" s="22"/>
      <c r="BF51" s="22"/>
      <c r="BG51" s="22"/>
      <c r="BH51" s="22"/>
      <c r="BI51" s="22"/>
      <c r="BJ51" s="22"/>
      <c r="BK51" s="22"/>
    </row>
    <row r="52" spans="1:63" ht="15.75" x14ac:dyDescent="0.25">
      <c r="A52" s="120"/>
      <c r="B52" s="22"/>
      <c r="C52" s="121"/>
      <c r="D52" s="121"/>
      <c r="E52" s="122"/>
      <c r="F52" s="122"/>
      <c r="G52" s="22"/>
      <c r="H52" s="22"/>
      <c r="I52" s="122"/>
      <c r="J52" s="22"/>
      <c r="K52" s="123"/>
      <c r="L52" s="123"/>
      <c r="M52" s="118"/>
      <c r="N52" s="124"/>
      <c r="O52" s="22"/>
      <c r="P52" s="125"/>
      <c r="Q52" s="22"/>
      <c r="R52" s="119"/>
      <c r="S52" s="140"/>
      <c r="T52" s="127"/>
      <c r="U52" s="128"/>
      <c r="V52" s="22"/>
      <c r="W52" s="119"/>
      <c r="X52" s="129"/>
      <c r="Y52" s="119"/>
      <c r="Z52" s="22"/>
      <c r="AA52" s="130"/>
      <c r="AB52" s="130"/>
      <c r="AC52" s="103"/>
      <c r="AD52" s="130"/>
      <c r="AE52" s="103"/>
      <c r="AF52" s="130"/>
      <c r="AG52" s="103"/>
      <c r="AH52" s="130"/>
      <c r="AI52" s="22"/>
      <c r="AJ52" s="131"/>
      <c r="AK52" s="22"/>
      <c r="AL52" s="130"/>
      <c r="AM52" s="132"/>
      <c r="AN52" s="103"/>
      <c r="AO52" s="132"/>
      <c r="AP52" s="126"/>
      <c r="AQ52" s="132"/>
      <c r="AR52" s="29"/>
      <c r="AS52" s="29"/>
      <c r="AT52" s="29"/>
      <c r="AU52" s="22"/>
      <c r="AV52" s="122"/>
      <c r="AW52" s="130"/>
      <c r="AX52" s="130"/>
      <c r="AY52" s="22"/>
      <c r="AZ52" s="133"/>
      <c r="BA52" s="22"/>
      <c r="BB52" s="126"/>
      <c r="BC52" s="22"/>
      <c r="BD52" s="22"/>
      <c r="BE52" s="22"/>
      <c r="BF52" s="22"/>
      <c r="BG52" s="22"/>
      <c r="BH52" s="22"/>
      <c r="BI52" s="22"/>
      <c r="BJ52" s="22"/>
      <c r="BK52" s="22"/>
    </row>
    <row r="53" spans="1:63" ht="15.95" customHeight="1" x14ac:dyDescent="0.25">
      <c r="A53" s="120"/>
      <c r="B53" s="22"/>
      <c r="C53" s="121"/>
      <c r="D53" s="121"/>
      <c r="E53" s="122"/>
      <c r="F53" s="122"/>
      <c r="G53" s="22"/>
      <c r="H53" s="22"/>
      <c r="I53" s="122"/>
      <c r="J53" s="22"/>
      <c r="K53" s="123"/>
      <c r="L53" s="123"/>
      <c r="M53" s="118"/>
      <c r="N53" s="124"/>
      <c r="O53" s="22"/>
      <c r="P53" s="125"/>
      <c r="Q53" s="22"/>
      <c r="R53" s="119"/>
      <c r="S53" s="140"/>
      <c r="T53" s="127"/>
      <c r="U53" s="128"/>
      <c r="V53" s="22"/>
      <c r="W53" s="119"/>
      <c r="X53" s="129"/>
      <c r="Y53" s="119"/>
      <c r="Z53" s="22"/>
      <c r="AA53" s="130"/>
      <c r="AB53" s="130"/>
      <c r="AC53" s="103"/>
      <c r="AD53" s="130"/>
      <c r="AE53" s="103"/>
      <c r="AF53" s="130"/>
      <c r="AG53" s="103"/>
      <c r="AH53" s="130"/>
      <c r="AI53" s="22"/>
      <c r="AJ53" s="131"/>
      <c r="AK53" s="22"/>
      <c r="AL53" s="130"/>
      <c r="AM53" s="132"/>
      <c r="AN53" s="103"/>
      <c r="AO53" s="132"/>
      <c r="AP53" s="126"/>
      <c r="AQ53" s="132"/>
      <c r="AR53" s="29"/>
      <c r="AS53" s="29"/>
      <c r="AT53" s="29"/>
      <c r="AU53" s="22"/>
      <c r="AV53" s="122"/>
      <c r="AW53" s="130"/>
      <c r="AX53" s="130"/>
      <c r="AY53" s="22"/>
      <c r="AZ53" s="133"/>
      <c r="BA53" s="22"/>
      <c r="BB53" s="126"/>
      <c r="BC53" s="22"/>
      <c r="BD53" s="22"/>
      <c r="BE53" s="22"/>
      <c r="BF53" s="22"/>
      <c r="BG53" s="22"/>
      <c r="BH53" s="22"/>
      <c r="BI53" s="22"/>
      <c r="BJ53" s="22"/>
      <c r="BK53" s="22"/>
    </row>
    <row r="54" spans="1:63" ht="15.75" x14ac:dyDescent="0.25">
      <c r="A54" s="120"/>
      <c r="B54" s="22"/>
      <c r="C54" s="121"/>
      <c r="D54" s="121"/>
      <c r="E54" s="122"/>
      <c r="F54" s="122"/>
      <c r="G54" s="22"/>
      <c r="H54" s="22"/>
      <c r="I54" s="122"/>
      <c r="J54" s="22"/>
      <c r="K54" s="123"/>
      <c r="L54" s="123"/>
      <c r="M54" s="118"/>
      <c r="N54" s="124"/>
      <c r="O54" s="22"/>
      <c r="P54" s="125"/>
      <c r="Q54" s="22"/>
      <c r="R54" s="119"/>
      <c r="S54" s="140"/>
      <c r="T54" s="127"/>
      <c r="U54" s="128"/>
      <c r="V54" s="22"/>
      <c r="W54" s="119"/>
      <c r="X54" s="138"/>
      <c r="Y54" s="119"/>
      <c r="Z54" s="22"/>
      <c r="AA54" s="130"/>
      <c r="AB54" s="130"/>
      <c r="AC54" s="103"/>
      <c r="AD54" s="130"/>
      <c r="AE54" s="103"/>
      <c r="AF54" s="130"/>
      <c r="AG54" s="103"/>
      <c r="AH54" s="130"/>
      <c r="AI54" s="22"/>
      <c r="AJ54" s="131"/>
      <c r="AK54" s="22"/>
      <c r="AL54" s="130"/>
      <c r="AM54" s="132"/>
      <c r="AN54" s="103"/>
      <c r="AO54" s="132"/>
      <c r="AP54" s="126"/>
      <c r="AQ54" s="132"/>
      <c r="AR54" s="29"/>
      <c r="AS54" s="29"/>
      <c r="AT54" s="29"/>
      <c r="AU54" s="22"/>
      <c r="AV54" s="122"/>
      <c r="AW54" s="130"/>
      <c r="AX54" s="130"/>
      <c r="AY54" s="22"/>
      <c r="AZ54" s="133"/>
      <c r="BA54" s="22"/>
      <c r="BB54" s="126"/>
      <c r="BC54" s="22"/>
      <c r="BD54" s="22"/>
      <c r="BE54" s="22"/>
      <c r="BF54" s="22"/>
      <c r="BG54" s="22"/>
      <c r="BH54" s="22"/>
      <c r="BI54" s="22"/>
      <c r="BJ54" s="22"/>
      <c r="BK54" s="22"/>
    </row>
    <row r="55" spans="1:63" ht="15.95" customHeight="1" x14ac:dyDescent="0.25">
      <c r="A55" s="120"/>
      <c r="B55" s="22"/>
      <c r="C55" s="121"/>
      <c r="D55" s="121"/>
      <c r="E55" s="122"/>
      <c r="F55" s="122"/>
      <c r="G55" s="22"/>
      <c r="H55" s="22"/>
      <c r="I55" s="122"/>
      <c r="J55" s="22"/>
      <c r="K55" s="123"/>
      <c r="L55" s="123"/>
      <c r="M55" s="118"/>
      <c r="N55" s="124"/>
      <c r="O55" s="22"/>
      <c r="P55" s="125"/>
      <c r="Q55" s="22"/>
      <c r="R55" s="119"/>
      <c r="S55" s="140"/>
      <c r="T55" s="127"/>
      <c r="U55" s="128"/>
      <c r="V55" s="22"/>
      <c r="W55" s="119"/>
      <c r="X55" s="129"/>
      <c r="Y55" s="119"/>
      <c r="Z55" s="22"/>
      <c r="AA55" s="130"/>
      <c r="AB55" s="130"/>
      <c r="AC55" s="103"/>
      <c r="AD55" s="130"/>
      <c r="AE55" s="103"/>
      <c r="AF55" s="130"/>
      <c r="AG55" s="103"/>
      <c r="AH55" s="130"/>
      <c r="AI55" s="22"/>
      <c r="AJ55" s="131"/>
      <c r="AK55" s="22"/>
      <c r="AL55" s="130"/>
      <c r="AM55" s="132"/>
      <c r="AN55" s="103"/>
      <c r="AO55" s="132"/>
      <c r="AP55" s="126"/>
      <c r="AQ55" s="132"/>
      <c r="AR55" s="29"/>
      <c r="AS55" s="29"/>
      <c r="AT55" s="29"/>
      <c r="AU55" s="22"/>
      <c r="AV55" s="122"/>
      <c r="AW55" s="130"/>
      <c r="AX55" s="130"/>
      <c r="AY55" s="22"/>
      <c r="AZ55" s="133"/>
      <c r="BA55" s="22"/>
      <c r="BB55" s="126"/>
      <c r="BC55" s="22"/>
      <c r="BD55" s="22"/>
      <c r="BE55" s="22"/>
      <c r="BF55" s="22"/>
      <c r="BG55" s="22"/>
      <c r="BH55" s="22"/>
      <c r="BI55" s="22"/>
      <c r="BJ55" s="22"/>
      <c r="BK55" s="22"/>
    </row>
    <row r="56" spans="1:63" ht="15.75" x14ac:dyDescent="0.25">
      <c r="A56" s="120"/>
      <c r="B56" s="22"/>
      <c r="C56" s="121"/>
      <c r="D56" s="121"/>
      <c r="E56" s="122"/>
      <c r="F56" s="122"/>
      <c r="G56" s="22"/>
      <c r="H56" s="22"/>
      <c r="I56" s="122"/>
      <c r="J56" s="22"/>
      <c r="K56" s="123"/>
      <c r="L56" s="123"/>
      <c r="M56" s="118"/>
      <c r="N56" s="124"/>
      <c r="O56" s="22"/>
      <c r="P56" s="125"/>
      <c r="Q56" s="22"/>
      <c r="R56" s="119"/>
      <c r="S56" s="140"/>
      <c r="T56" s="127"/>
      <c r="U56" s="128"/>
      <c r="V56" s="22"/>
      <c r="W56" s="119"/>
      <c r="X56" s="129"/>
      <c r="Y56" s="119"/>
      <c r="Z56" s="22"/>
      <c r="AA56" s="130"/>
      <c r="AB56" s="130"/>
      <c r="AC56" s="103"/>
      <c r="AD56" s="130"/>
      <c r="AE56" s="103"/>
      <c r="AF56" s="130"/>
      <c r="AG56" s="103"/>
      <c r="AH56" s="130"/>
      <c r="AI56" s="22"/>
      <c r="AJ56" s="131"/>
      <c r="AK56" s="22"/>
      <c r="AL56" s="130"/>
      <c r="AM56" s="132"/>
      <c r="AN56" s="103"/>
      <c r="AO56" s="132"/>
      <c r="AP56" s="126"/>
      <c r="AQ56" s="132"/>
      <c r="AR56" s="29"/>
      <c r="AS56" s="29"/>
      <c r="AT56" s="29"/>
      <c r="AU56" s="22"/>
      <c r="AV56" s="122"/>
      <c r="AW56" s="130"/>
      <c r="AX56" s="130"/>
      <c r="AY56" s="22"/>
      <c r="AZ56" s="133"/>
      <c r="BA56" s="22"/>
      <c r="BB56" s="126"/>
      <c r="BC56" s="22"/>
      <c r="BD56" s="22"/>
      <c r="BE56" s="22"/>
      <c r="BF56" s="22"/>
      <c r="BG56" s="22"/>
      <c r="BH56" s="22"/>
      <c r="BI56" s="22"/>
      <c r="BJ56" s="22"/>
      <c r="BK56" s="22"/>
    </row>
    <row r="57" spans="1:63" s="15" customFormat="1" ht="15.95" customHeight="1" x14ac:dyDescent="0.25">
      <c r="A57" s="28"/>
      <c r="B57" s="134"/>
      <c r="C57" s="22"/>
      <c r="D57" s="121"/>
      <c r="E57" s="139"/>
      <c r="F57" s="139"/>
      <c r="G57" s="17"/>
      <c r="H57" s="17"/>
      <c r="I57" s="17"/>
      <c r="J57" s="17"/>
      <c r="K57" s="20"/>
      <c r="L57" s="20"/>
      <c r="M57" s="26"/>
      <c r="N57" s="98"/>
      <c r="O57" s="17"/>
      <c r="P57" s="25"/>
      <c r="Q57" s="17"/>
      <c r="R57" s="118"/>
      <c r="S57" s="24"/>
      <c r="T57" s="98"/>
      <c r="U57" s="17"/>
      <c r="V57" s="17"/>
      <c r="W57" s="17"/>
      <c r="X57" s="135"/>
      <c r="Y57" s="119"/>
      <c r="Z57" s="17"/>
      <c r="AA57" s="22"/>
      <c r="AB57" s="22"/>
      <c r="AC57" s="22"/>
      <c r="AD57" s="22"/>
      <c r="AE57" s="23"/>
      <c r="AF57" s="23"/>
      <c r="AG57" s="22"/>
      <c r="AH57" s="22"/>
      <c r="AI57" s="17"/>
      <c r="AJ57" s="21"/>
      <c r="AK57" s="17"/>
      <c r="AL57" s="17"/>
      <c r="AM57" s="17"/>
      <c r="AN57" s="17"/>
      <c r="AO57" s="17"/>
      <c r="AP57" s="25"/>
      <c r="AQ57" s="17"/>
      <c r="AR57" s="16"/>
      <c r="AS57" s="16"/>
      <c r="AT57" s="16"/>
      <c r="AU57" s="17"/>
      <c r="AV57" s="16"/>
      <c r="AW57" s="16"/>
      <c r="AX57" s="16"/>
      <c r="AY57" s="17"/>
      <c r="AZ57" s="21"/>
      <c r="BA57" s="17"/>
      <c r="BB57" s="20"/>
      <c r="BC57" s="17"/>
      <c r="BD57" s="17"/>
      <c r="BE57" s="17"/>
      <c r="BF57" s="17"/>
      <c r="BG57" s="17"/>
      <c r="BH57" s="17"/>
      <c r="BI57" s="17"/>
      <c r="BJ57" s="17"/>
      <c r="BK57" s="17"/>
    </row>
    <row r="58" spans="1:63" ht="18.75" x14ac:dyDescent="0.25">
      <c r="A58" s="28"/>
      <c r="B58" s="17"/>
      <c r="C58" s="17"/>
      <c r="D58" s="22"/>
      <c r="E58" s="27"/>
      <c r="F58" s="27"/>
      <c r="G58" s="17"/>
      <c r="H58" s="17"/>
      <c r="I58" s="17"/>
      <c r="J58" s="17"/>
      <c r="K58" s="20"/>
      <c r="L58" s="20"/>
      <c r="M58" s="26"/>
      <c r="N58" s="98"/>
      <c r="O58" s="17"/>
      <c r="P58" s="25"/>
      <c r="Q58" s="17"/>
      <c r="R58" s="118"/>
      <c r="S58" s="24"/>
      <c r="T58" s="98"/>
      <c r="U58" s="17"/>
      <c r="V58" s="17"/>
      <c r="W58" s="17"/>
      <c r="X58" s="135"/>
      <c r="Y58" s="119"/>
      <c r="Z58" s="17"/>
      <c r="AA58" s="22"/>
      <c r="AB58" s="22"/>
      <c r="AC58" s="22"/>
      <c r="AD58" s="22"/>
      <c r="AE58" s="23"/>
      <c r="AF58" s="23"/>
      <c r="AG58" s="22"/>
      <c r="AH58" s="22"/>
      <c r="AI58" s="17"/>
      <c r="AJ58" s="21"/>
      <c r="AK58" s="17"/>
      <c r="AL58" s="17"/>
      <c r="AM58" s="17"/>
      <c r="AN58" s="17"/>
      <c r="AO58" s="17"/>
      <c r="AP58" s="25"/>
      <c r="AQ58" s="17"/>
      <c r="AR58" s="16"/>
      <c r="AS58" s="16"/>
      <c r="AT58" s="16"/>
      <c r="AU58" s="17"/>
      <c r="AV58" s="16"/>
      <c r="AW58" s="16"/>
      <c r="AX58" s="16"/>
      <c r="AY58" s="17"/>
      <c r="AZ58" s="21"/>
      <c r="BA58" s="17"/>
      <c r="BB58" s="20"/>
      <c r="BC58" s="17"/>
      <c r="BD58" s="17"/>
      <c r="BE58" s="17"/>
      <c r="BF58" s="17"/>
      <c r="BG58" s="17"/>
      <c r="BH58" s="17"/>
      <c r="BI58" s="17"/>
      <c r="BJ58" s="17"/>
      <c r="BK58" s="17"/>
    </row>
    <row r="59" spans="1:63" ht="18.75" x14ac:dyDescent="0.25">
      <c r="A59" s="28"/>
      <c r="B59" s="17"/>
      <c r="C59" s="17"/>
      <c r="D59" s="22"/>
      <c r="E59" s="27"/>
      <c r="F59" s="27"/>
      <c r="G59" s="17"/>
      <c r="H59" s="17"/>
      <c r="I59" s="17"/>
      <c r="J59" s="17"/>
      <c r="K59" s="20"/>
      <c r="L59" s="20"/>
      <c r="M59" s="26"/>
      <c r="N59" s="98"/>
      <c r="O59" s="17"/>
      <c r="P59" s="25"/>
      <c r="Q59" s="17"/>
      <c r="R59" s="118"/>
      <c r="S59" s="24"/>
      <c r="T59" s="98"/>
      <c r="U59" s="17"/>
      <c r="V59" s="17"/>
      <c r="W59" s="17"/>
      <c r="X59" s="135"/>
      <c r="Y59" s="119"/>
      <c r="Z59" s="17"/>
      <c r="AA59" s="22"/>
      <c r="AB59" s="22"/>
      <c r="AC59" s="22"/>
      <c r="AD59" s="22"/>
      <c r="AE59" s="23"/>
      <c r="AF59" s="23"/>
      <c r="AG59" s="22"/>
      <c r="AH59" s="22"/>
      <c r="AI59" s="17"/>
      <c r="AJ59" s="21"/>
      <c r="AK59" s="17"/>
      <c r="AL59" s="17"/>
      <c r="AM59" s="17"/>
      <c r="AN59" s="17"/>
      <c r="AO59" s="17"/>
      <c r="AP59" s="25"/>
      <c r="AQ59" s="17"/>
      <c r="AR59" s="16"/>
      <c r="AS59" s="16"/>
      <c r="AT59" s="16"/>
      <c r="AU59" s="17"/>
      <c r="AV59" s="16"/>
      <c r="AW59" s="16"/>
      <c r="AX59" s="16"/>
      <c r="AY59" s="17"/>
      <c r="AZ59" s="21"/>
      <c r="BA59" s="17"/>
      <c r="BB59" s="20"/>
      <c r="BC59" s="17"/>
      <c r="BD59" s="17"/>
      <c r="BE59" s="17"/>
      <c r="BF59" s="17"/>
      <c r="BG59" s="17"/>
      <c r="BH59" s="17"/>
      <c r="BI59" s="17"/>
      <c r="BJ59" s="17"/>
      <c r="BK59" s="17"/>
    </row>
    <row r="60" spans="1:63" ht="18.75" x14ac:dyDescent="0.25">
      <c r="A60" s="28"/>
      <c r="B60" s="17"/>
      <c r="C60" s="17"/>
      <c r="D60" s="22"/>
      <c r="E60" s="27"/>
      <c r="F60" s="27"/>
      <c r="G60" s="17"/>
      <c r="H60" s="17"/>
      <c r="I60" s="17"/>
      <c r="J60" s="17"/>
      <c r="K60" s="20"/>
      <c r="L60" s="20"/>
      <c r="M60" s="26"/>
      <c r="N60" s="98"/>
      <c r="O60" s="17"/>
      <c r="P60" s="25"/>
      <c r="Q60" s="17"/>
      <c r="R60" s="118"/>
      <c r="S60" s="24"/>
      <c r="T60" s="98"/>
      <c r="U60" s="17"/>
      <c r="V60" s="17"/>
      <c r="W60" s="17"/>
      <c r="X60" s="135"/>
      <c r="Y60" s="119"/>
      <c r="Z60" s="17"/>
      <c r="AA60" s="22"/>
      <c r="AB60" s="22"/>
      <c r="AC60" s="22"/>
      <c r="AD60" s="22"/>
      <c r="AE60" s="23"/>
      <c r="AF60" s="23"/>
      <c r="AG60" s="22"/>
      <c r="AH60" s="22"/>
      <c r="AI60" s="17"/>
      <c r="AJ60" s="21"/>
      <c r="AK60" s="17"/>
      <c r="AL60" s="17"/>
      <c r="AM60" s="17"/>
      <c r="AN60" s="17"/>
      <c r="AO60" s="17"/>
      <c r="AP60" s="25"/>
      <c r="AQ60" s="17"/>
      <c r="AR60" s="16"/>
      <c r="AS60" s="16"/>
      <c r="AT60" s="16"/>
      <c r="AU60" s="17"/>
      <c r="AV60" s="16"/>
      <c r="AW60" s="16"/>
      <c r="AX60" s="16"/>
      <c r="AY60" s="17"/>
      <c r="AZ60" s="21"/>
      <c r="BA60" s="17"/>
      <c r="BB60" s="20"/>
      <c r="BC60" s="17"/>
      <c r="BD60" s="17"/>
      <c r="BE60" s="17"/>
      <c r="BF60" s="17"/>
      <c r="BG60" s="17"/>
      <c r="BH60" s="17"/>
      <c r="BI60" s="17"/>
      <c r="BJ60" s="17"/>
      <c r="BK60" s="17"/>
    </row>
    <row r="61" spans="1:63" ht="15.6" customHeight="1" x14ac:dyDescent="0.25">
      <c r="A61" s="28"/>
      <c r="B61" s="17"/>
      <c r="C61" s="17"/>
      <c r="D61" s="22"/>
      <c r="E61" s="27"/>
      <c r="F61" s="27"/>
      <c r="G61" s="17"/>
      <c r="H61" s="17"/>
      <c r="I61" s="17"/>
      <c r="J61" s="17"/>
      <c r="K61" s="20"/>
      <c r="L61" s="20"/>
      <c r="M61" s="26"/>
      <c r="N61" s="98"/>
      <c r="O61" s="17"/>
      <c r="P61" s="25"/>
      <c r="Q61" s="17"/>
      <c r="R61" s="118"/>
      <c r="S61" s="24"/>
      <c r="T61" s="98"/>
      <c r="U61" s="17"/>
      <c r="V61" s="17"/>
      <c r="W61" s="17"/>
      <c r="X61" s="135"/>
      <c r="Y61" s="119"/>
      <c r="Z61" s="17"/>
      <c r="AA61" s="22"/>
      <c r="AB61" s="22"/>
      <c r="AC61" s="22"/>
      <c r="AD61" s="22"/>
      <c r="AE61" s="23"/>
      <c r="AF61" s="23"/>
      <c r="AG61" s="22"/>
      <c r="AH61" s="22"/>
      <c r="AI61" s="17"/>
      <c r="AJ61" s="21"/>
      <c r="AK61" s="17"/>
      <c r="AL61" s="17"/>
      <c r="AM61" s="17"/>
      <c r="AN61" s="17"/>
      <c r="AO61" s="17"/>
      <c r="AP61" s="25"/>
      <c r="AQ61" s="17"/>
      <c r="AR61" s="16"/>
      <c r="AS61" s="16"/>
      <c r="AT61" s="16"/>
      <c r="AU61" s="17"/>
      <c r="AV61" s="16"/>
      <c r="AW61" s="16"/>
      <c r="AX61" s="16"/>
      <c r="AY61" s="17"/>
      <c r="AZ61" s="21"/>
      <c r="BA61" s="17"/>
      <c r="BB61" s="20"/>
      <c r="BC61" s="17"/>
      <c r="BD61" s="17"/>
      <c r="BE61" s="17"/>
      <c r="BF61" s="17"/>
      <c r="BG61" s="17"/>
      <c r="BH61" s="17"/>
      <c r="BI61" s="17"/>
      <c r="BJ61" s="17"/>
      <c r="BK61" s="17"/>
    </row>
    <row r="62" spans="1:63" ht="18.75" x14ac:dyDescent="0.25">
      <c r="A62" s="28"/>
      <c r="B62" s="22"/>
      <c r="C62" s="22"/>
      <c r="D62" s="22"/>
      <c r="E62" s="27"/>
      <c r="F62" s="27"/>
      <c r="G62" s="17"/>
      <c r="H62" s="17"/>
      <c r="I62" s="17"/>
      <c r="J62" s="17"/>
      <c r="K62" s="20"/>
      <c r="L62" s="20"/>
      <c r="M62" s="26"/>
      <c r="N62" s="98"/>
      <c r="O62" s="17"/>
      <c r="P62" s="25"/>
      <c r="Q62" s="17"/>
      <c r="R62" s="118"/>
      <c r="S62" s="24"/>
      <c r="T62" s="98"/>
      <c r="U62" s="17"/>
      <c r="V62" s="17"/>
      <c r="W62" s="17"/>
      <c r="X62" s="135"/>
      <c r="Y62" s="119"/>
      <c r="Z62" s="17"/>
      <c r="AA62" s="22"/>
      <c r="AB62" s="22"/>
      <c r="AC62" s="22"/>
      <c r="AD62" s="22"/>
      <c r="AE62" s="23"/>
      <c r="AF62" s="23"/>
      <c r="AG62" s="22"/>
      <c r="AH62" s="22"/>
      <c r="AI62" s="17"/>
      <c r="AJ62" s="21"/>
      <c r="AK62" s="17"/>
      <c r="AL62" s="17"/>
      <c r="AM62" s="17"/>
      <c r="AN62" s="17"/>
      <c r="AO62" s="17"/>
      <c r="AP62" s="25"/>
      <c r="AQ62" s="17"/>
      <c r="AR62" s="16"/>
      <c r="AS62" s="16"/>
      <c r="AT62" s="16"/>
      <c r="AU62" s="17"/>
      <c r="AV62" s="16"/>
      <c r="AW62" s="16"/>
      <c r="AX62" s="16"/>
      <c r="AY62" s="17"/>
      <c r="AZ62" s="21"/>
      <c r="BA62" s="17"/>
      <c r="BB62" s="20"/>
      <c r="BC62" s="17"/>
      <c r="BD62" s="17"/>
      <c r="BE62" s="17"/>
      <c r="BF62" s="17"/>
      <c r="BG62" s="17"/>
      <c r="BH62" s="17"/>
      <c r="BI62" s="17"/>
      <c r="BJ62" s="17"/>
      <c r="BK62" s="17"/>
    </row>
    <row r="63" spans="1:63" ht="15.75" x14ac:dyDescent="0.25">
      <c r="A63" s="120"/>
      <c r="B63" s="22"/>
      <c r="C63" s="121"/>
      <c r="D63" s="121"/>
      <c r="E63" s="122"/>
      <c r="F63" s="122"/>
      <c r="G63" s="22"/>
      <c r="H63" s="22"/>
      <c r="I63" s="122"/>
      <c r="J63" s="22"/>
      <c r="K63" s="123"/>
      <c r="L63" s="123"/>
      <c r="M63" s="118"/>
      <c r="N63" s="124"/>
      <c r="O63" s="22"/>
      <c r="P63" s="125"/>
      <c r="Q63" s="22"/>
      <c r="R63" s="119"/>
      <c r="S63" s="140"/>
      <c r="T63" s="127"/>
      <c r="U63" s="128"/>
      <c r="V63" s="22"/>
      <c r="W63" s="119"/>
      <c r="X63" s="138"/>
      <c r="Y63" s="119"/>
      <c r="Z63" s="22"/>
      <c r="AA63" s="130"/>
      <c r="AB63" s="130"/>
      <c r="AC63" s="103"/>
      <c r="AD63" s="130"/>
      <c r="AE63" s="103"/>
      <c r="AF63" s="130"/>
      <c r="AG63" s="103"/>
      <c r="AH63" s="130"/>
      <c r="AI63" s="22"/>
      <c r="AJ63" s="131"/>
      <c r="AK63" s="22"/>
      <c r="AL63" s="130"/>
      <c r="AM63" s="132"/>
      <c r="AN63" s="103"/>
      <c r="AO63" s="132"/>
      <c r="AP63" s="126"/>
      <c r="AQ63" s="132"/>
      <c r="AR63" s="29"/>
      <c r="AS63" s="29"/>
      <c r="AT63" s="29"/>
      <c r="AU63" s="22"/>
      <c r="AV63" s="122"/>
      <c r="AW63" s="130"/>
      <c r="AX63" s="130"/>
      <c r="AY63" s="22"/>
      <c r="AZ63" s="22"/>
      <c r="BA63" s="22"/>
      <c r="BB63" s="126"/>
      <c r="BC63" s="22"/>
      <c r="BD63" s="22"/>
      <c r="BE63" s="22"/>
      <c r="BF63" s="22"/>
      <c r="BG63" s="22"/>
      <c r="BH63" s="22"/>
      <c r="BI63" s="22"/>
      <c r="BJ63" s="22"/>
      <c r="BK63" s="22"/>
    </row>
    <row r="64" spans="1:63" ht="15.75" x14ac:dyDescent="0.25">
      <c r="A64" s="120"/>
      <c r="B64" s="22"/>
      <c r="C64" s="121"/>
      <c r="D64" s="121"/>
      <c r="E64" s="122"/>
      <c r="F64" s="122"/>
      <c r="G64" s="22"/>
      <c r="H64" s="22"/>
      <c r="I64" s="122"/>
      <c r="J64" s="22"/>
      <c r="K64" s="123"/>
      <c r="L64" s="123"/>
      <c r="M64" s="118"/>
      <c r="N64" s="124"/>
      <c r="O64" s="22"/>
      <c r="P64" s="125"/>
      <c r="Q64" s="22"/>
      <c r="R64" s="119"/>
      <c r="S64" s="140"/>
      <c r="T64" s="127"/>
      <c r="U64" s="128"/>
      <c r="V64" s="22"/>
      <c r="W64" s="119"/>
      <c r="X64" s="129"/>
      <c r="Y64" s="119"/>
      <c r="Z64" s="22"/>
      <c r="AA64" s="130"/>
      <c r="AB64" s="130"/>
      <c r="AC64" s="103"/>
      <c r="AD64" s="130"/>
      <c r="AE64" s="103"/>
      <c r="AF64" s="130"/>
      <c r="AG64" s="103"/>
      <c r="AH64" s="130"/>
      <c r="AI64" s="22"/>
      <c r="AJ64" s="131"/>
      <c r="AK64" s="22"/>
      <c r="AL64" s="130"/>
      <c r="AM64" s="132"/>
      <c r="AN64" s="103"/>
      <c r="AO64" s="132"/>
      <c r="AP64" s="126"/>
      <c r="AQ64" s="132"/>
      <c r="AR64" s="29"/>
      <c r="AS64" s="29"/>
      <c r="AT64" s="29"/>
      <c r="AU64" s="22"/>
      <c r="AV64" s="122"/>
      <c r="AW64" s="130"/>
      <c r="AX64" s="130"/>
      <c r="AY64" s="22"/>
      <c r="AZ64" s="133"/>
      <c r="BA64" s="22"/>
      <c r="BB64" s="126"/>
      <c r="BC64" s="22"/>
      <c r="BD64" s="22"/>
      <c r="BE64" s="22"/>
      <c r="BF64" s="22"/>
      <c r="BG64" s="22"/>
      <c r="BH64" s="22"/>
      <c r="BI64" s="22"/>
      <c r="BJ64" s="22"/>
      <c r="BK64" s="22"/>
    </row>
    <row r="65" spans="1:63" ht="15.6" customHeight="1" x14ac:dyDescent="0.25">
      <c r="A65" s="120"/>
      <c r="B65" s="22"/>
      <c r="C65" s="121"/>
      <c r="D65" s="121"/>
      <c r="E65" s="122"/>
      <c r="F65" s="122"/>
      <c r="G65" s="22"/>
      <c r="H65" s="22"/>
      <c r="I65" s="122"/>
      <c r="J65" s="22"/>
      <c r="K65" s="123"/>
      <c r="L65" s="123"/>
      <c r="M65" s="118"/>
      <c r="N65" s="124"/>
      <c r="O65" s="22"/>
      <c r="P65" s="125"/>
      <c r="Q65" s="22"/>
      <c r="R65" s="119"/>
      <c r="S65" s="140"/>
      <c r="T65" s="127"/>
      <c r="U65" s="128"/>
      <c r="V65" s="22"/>
      <c r="W65" s="119"/>
      <c r="X65" s="129"/>
      <c r="Y65" s="119"/>
      <c r="Z65" s="22"/>
      <c r="AA65" s="130"/>
      <c r="AB65" s="130"/>
      <c r="AC65" s="103"/>
      <c r="AD65" s="130"/>
      <c r="AE65" s="103"/>
      <c r="AF65" s="130"/>
      <c r="AG65" s="103"/>
      <c r="AH65" s="130"/>
      <c r="AI65" s="22"/>
      <c r="AJ65" s="131"/>
      <c r="AK65" s="22"/>
      <c r="AL65" s="130"/>
      <c r="AM65" s="132"/>
      <c r="AN65" s="103"/>
      <c r="AO65" s="132"/>
      <c r="AP65" s="126"/>
      <c r="AQ65" s="132"/>
      <c r="AR65" s="29"/>
      <c r="AS65" s="29"/>
      <c r="AT65" s="29"/>
      <c r="AU65" s="22"/>
      <c r="AV65" s="122"/>
      <c r="AW65" s="130"/>
      <c r="AX65" s="130"/>
      <c r="AY65" s="22"/>
      <c r="AZ65" s="133"/>
      <c r="BA65" s="22"/>
      <c r="BB65" s="126"/>
      <c r="BC65" s="22"/>
      <c r="BD65" s="22"/>
      <c r="BE65" s="22"/>
      <c r="BF65" s="22"/>
      <c r="BG65" s="22"/>
      <c r="BH65" s="22"/>
      <c r="BI65" s="22"/>
      <c r="BJ65" s="22"/>
      <c r="BK65" s="22"/>
    </row>
    <row r="66" spans="1:63" ht="15.75" x14ac:dyDescent="0.25">
      <c r="A66" s="120"/>
      <c r="B66" s="22"/>
      <c r="C66" s="121"/>
      <c r="D66" s="121"/>
      <c r="E66" s="122"/>
      <c r="F66" s="122"/>
      <c r="G66" s="22"/>
      <c r="H66" s="22"/>
      <c r="I66" s="122"/>
      <c r="J66" s="22"/>
      <c r="K66" s="123"/>
      <c r="L66" s="123"/>
      <c r="M66" s="118"/>
      <c r="N66" s="124"/>
      <c r="O66" s="22"/>
      <c r="P66" s="125"/>
      <c r="Q66" s="22"/>
      <c r="R66" s="119"/>
      <c r="S66" s="140"/>
      <c r="T66" s="127"/>
      <c r="U66" s="128"/>
      <c r="V66" s="22"/>
      <c r="W66" s="119"/>
      <c r="X66" s="129"/>
      <c r="Y66" s="119"/>
      <c r="Z66" s="22"/>
      <c r="AA66" s="130"/>
      <c r="AB66" s="130"/>
      <c r="AC66" s="103"/>
      <c r="AD66" s="130"/>
      <c r="AE66" s="103"/>
      <c r="AF66" s="130"/>
      <c r="AG66" s="103"/>
      <c r="AH66" s="130"/>
      <c r="AI66" s="22"/>
      <c r="AJ66" s="131"/>
      <c r="AK66" s="22"/>
      <c r="AL66" s="130"/>
      <c r="AM66" s="132"/>
      <c r="AN66" s="103"/>
      <c r="AO66" s="132"/>
      <c r="AP66" s="126"/>
      <c r="AQ66" s="132"/>
      <c r="AR66" s="29"/>
      <c r="AS66" s="29"/>
      <c r="AT66" s="29"/>
      <c r="AU66" s="22"/>
      <c r="AV66" s="122"/>
      <c r="AW66" s="130"/>
      <c r="AX66" s="130"/>
      <c r="AY66" s="22"/>
      <c r="AZ66" s="22"/>
      <c r="BA66" s="22"/>
      <c r="BB66" s="126"/>
      <c r="BC66" s="22"/>
      <c r="BD66" s="22"/>
      <c r="BE66" s="22"/>
      <c r="BF66" s="22"/>
      <c r="BG66" s="22"/>
      <c r="BH66" s="22"/>
      <c r="BI66" s="22"/>
      <c r="BJ66" s="22"/>
      <c r="BK66" s="22"/>
    </row>
    <row r="67" spans="1:63" ht="15.75" x14ac:dyDescent="0.25">
      <c r="A67" s="120"/>
      <c r="B67" s="22"/>
      <c r="C67" s="121"/>
      <c r="D67" s="121"/>
      <c r="E67" s="122"/>
      <c r="F67" s="122"/>
      <c r="G67" s="22"/>
      <c r="H67" s="22"/>
      <c r="I67" s="122"/>
      <c r="J67" s="22"/>
      <c r="K67" s="123"/>
      <c r="L67" s="123"/>
      <c r="M67" s="118"/>
      <c r="N67" s="124"/>
      <c r="O67" s="22"/>
      <c r="P67" s="125"/>
      <c r="Q67" s="22"/>
      <c r="R67" s="119"/>
      <c r="S67" s="140"/>
      <c r="T67" s="127"/>
      <c r="U67" s="128"/>
      <c r="V67" s="22"/>
      <c r="W67" s="119"/>
      <c r="X67" s="129"/>
      <c r="Y67" s="119"/>
      <c r="Z67" s="22"/>
      <c r="AA67" s="130"/>
      <c r="AB67" s="130"/>
      <c r="AC67" s="103"/>
      <c r="AD67" s="130"/>
      <c r="AE67" s="103"/>
      <c r="AF67" s="130"/>
      <c r="AG67" s="103"/>
      <c r="AH67" s="130"/>
      <c r="AI67" s="22"/>
      <c r="AJ67" s="131"/>
      <c r="AK67" s="22"/>
      <c r="AL67" s="130"/>
      <c r="AM67" s="132"/>
      <c r="AN67" s="103"/>
      <c r="AO67" s="132"/>
      <c r="AP67" s="126"/>
      <c r="AQ67" s="132"/>
      <c r="AR67" s="29"/>
      <c r="AS67" s="29"/>
      <c r="AT67" s="29"/>
      <c r="AU67" s="22"/>
      <c r="AV67" s="122"/>
      <c r="AW67" s="130"/>
      <c r="AX67" s="130"/>
      <c r="AY67" s="22"/>
      <c r="AZ67" s="22"/>
      <c r="BA67" s="22"/>
      <c r="BB67" s="126"/>
      <c r="BC67" s="22"/>
      <c r="BD67" s="22"/>
      <c r="BE67" s="22"/>
      <c r="BF67" s="22"/>
      <c r="BG67" s="22"/>
      <c r="BH67" s="22"/>
      <c r="BI67" s="22"/>
      <c r="BJ67" s="22"/>
      <c r="BK67" s="22"/>
    </row>
    <row r="68" spans="1:63" ht="15.75" x14ac:dyDescent="0.25">
      <c r="A68" s="120"/>
      <c r="B68" s="22"/>
      <c r="C68" s="121"/>
      <c r="D68" s="121"/>
      <c r="E68" s="122"/>
      <c r="F68" s="122"/>
      <c r="G68" s="22"/>
      <c r="H68" s="22"/>
      <c r="I68" s="122"/>
      <c r="J68" s="22"/>
      <c r="K68" s="123"/>
      <c r="L68" s="123"/>
      <c r="M68" s="118"/>
      <c r="N68" s="124"/>
      <c r="O68" s="22"/>
      <c r="P68" s="125"/>
      <c r="Q68" s="22"/>
      <c r="R68" s="119"/>
      <c r="S68" s="140"/>
      <c r="T68" s="127"/>
      <c r="U68" s="128"/>
      <c r="V68" s="22"/>
      <c r="W68" s="119"/>
      <c r="X68" s="129"/>
      <c r="Y68" s="119"/>
      <c r="Z68" s="22"/>
      <c r="AA68" s="130"/>
      <c r="AB68" s="130"/>
      <c r="AC68" s="103"/>
      <c r="AD68" s="130"/>
      <c r="AE68" s="103"/>
      <c r="AF68" s="130"/>
      <c r="AG68" s="103"/>
      <c r="AH68" s="130"/>
      <c r="AI68" s="22"/>
      <c r="AJ68" s="131"/>
      <c r="AK68" s="22"/>
      <c r="AL68" s="130"/>
      <c r="AM68" s="132"/>
      <c r="AN68" s="103"/>
      <c r="AO68" s="132"/>
      <c r="AP68" s="126"/>
      <c r="AQ68" s="132"/>
      <c r="AR68" s="29"/>
      <c r="AS68" s="29"/>
      <c r="AT68" s="29"/>
      <c r="AU68" s="22"/>
      <c r="AV68" s="122"/>
      <c r="AW68" s="130"/>
      <c r="AX68" s="130"/>
      <c r="AY68" s="22"/>
      <c r="AZ68" s="133"/>
      <c r="BA68" s="22"/>
      <c r="BB68" s="126"/>
      <c r="BC68" s="22"/>
      <c r="BD68" s="22"/>
      <c r="BE68" s="22"/>
      <c r="BF68" s="22"/>
      <c r="BG68" s="22"/>
      <c r="BH68" s="22"/>
      <c r="BI68" s="22"/>
      <c r="BJ68" s="22"/>
      <c r="BK68" s="22"/>
    </row>
    <row r="69" spans="1:63" ht="15.75" x14ac:dyDescent="0.25">
      <c r="A69" s="120"/>
      <c r="B69" s="22"/>
      <c r="C69" s="121"/>
      <c r="D69" s="121"/>
      <c r="E69" s="122"/>
      <c r="F69" s="122"/>
      <c r="G69" s="22"/>
      <c r="H69" s="22"/>
      <c r="I69" s="122"/>
      <c r="J69" s="22"/>
      <c r="K69" s="123"/>
      <c r="L69" s="123"/>
      <c r="M69" s="118"/>
      <c r="N69" s="124"/>
      <c r="O69" s="22"/>
      <c r="P69" s="125"/>
      <c r="Q69" s="22"/>
      <c r="R69" s="119"/>
      <c r="S69" s="140"/>
      <c r="T69" s="127"/>
      <c r="U69" s="128"/>
      <c r="V69" s="22"/>
      <c r="W69" s="119"/>
      <c r="X69" s="129"/>
      <c r="Y69" s="119"/>
      <c r="Z69" s="22"/>
      <c r="AA69" s="130"/>
      <c r="AB69" s="130"/>
      <c r="AC69" s="103"/>
      <c r="AD69" s="130"/>
      <c r="AE69" s="103"/>
      <c r="AF69" s="130"/>
      <c r="AG69" s="103"/>
      <c r="AH69" s="130"/>
      <c r="AI69" s="22"/>
      <c r="AJ69" s="131"/>
      <c r="AK69" s="22"/>
      <c r="AL69" s="130"/>
      <c r="AM69" s="132"/>
      <c r="AN69" s="103"/>
      <c r="AO69" s="132"/>
      <c r="AP69" s="126"/>
      <c r="AQ69" s="132"/>
      <c r="AR69" s="29"/>
      <c r="AS69" s="29"/>
      <c r="AT69" s="29"/>
      <c r="AU69" s="22"/>
      <c r="AV69" s="122"/>
      <c r="AW69" s="130"/>
      <c r="AX69" s="130"/>
      <c r="AY69" s="22"/>
      <c r="AZ69" s="133"/>
      <c r="BA69" s="22"/>
      <c r="BB69" s="126"/>
      <c r="BC69" s="22"/>
      <c r="BD69" s="22"/>
      <c r="BE69" s="22"/>
      <c r="BF69" s="22"/>
      <c r="BG69" s="22"/>
      <c r="BH69" s="22"/>
      <c r="BI69" s="22"/>
      <c r="BJ69" s="22"/>
      <c r="BK69" s="22"/>
    </row>
    <row r="70" spans="1:63" ht="18.75" x14ac:dyDescent="0.25">
      <c r="A70" s="28"/>
      <c r="B70" s="134"/>
      <c r="C70" s="22"/>
      <c r="D70" s="22"/>
      <c r="E70" s="27"/>
      <c r="F70" s="27"/>
      <c r="G70" s="17"/>
      <c r="H70" s="17"/>
      <c r="I70" s="17"/>
      <c r="J70" s="17"/>
      <c r="K70" s="20"/>
      <c r="L70" s="20"/>
      <c r="M70" s="26"/>
      <c r="N70" s="98"/>
      <c r="O70" s="17"/>
      <c r="P70" s="25"/>
      <c r="Q70" s="17"/>
      <c r="R70" s="118"/>
      <c r="S70" s="24"/>
      <c r="T70" s="98"/>
      <c r="U70" s="17"/>
      <c r="V70" s="17"/>
      <c r="W70" s="17"/>
      <c r="X70" s="135"/>
      <c r="Y70" s="119"/>
      <c r="Z70" s="17"/>
      <c r="AA70" s="22"/>
      <c r="AB70" s="22"/>
      <c r="AC70" s="22"/>
      <c r="AD70" s="22"/>
      <c r="AE70" s="23"/>
      <c r="AF70" s="23"/>
      <c r="AG70" s="22"/>
      <c r="AH70" s="22"/>
      <c r="AI70" s="17"/>
      <c r="AJ70" s="21"/>
      <c r="AK70" s="17"/>
      <c r="AL70" s="17"/>
      <c r="AM70" s="17"/>
      <c r="AN70" s="17"/>
      <c r="AO70" s="17"/>
      <c r="AP70" s="25"/>
      <c r="AQ70" s="17"/>
      <c r="AR70" s="16"/>
      <c r="AS70" s="16"/>
      <c r="AT70" s="16"/>
      <c r="AU70" s="17"/>
      <c r="AV70" s="16"/>
      <c r="AW70" s="16"/>
      <c r="AX70" s="16"/>
      <c r="AY70" s="17"/>
      <c r="AZ70" s="21"/>
      <c r="BA70" s="17"/>
      <c r="BB70" s="20"/>
      <c r="BC70" s="17"/>
      <c r="BD70" s="17"/>
      <c r="BE70" s="17"/>
      <c r="BF70" s="17"/>
      <c r="BG70" s="17"/>
      <c r="BH70" s="17"/>
      <c r="BI70" s="17"/>
      <c r="BJ70" s="17"/>
      <c r="BK70" s="17"/>
    </row>
    <row r="71" spans="1:63" ht="18.75" x14ac:dyDescent="0.25">
      <c r="A71" s="28"/>
      <c r="B71" s="22"/>
      <c r="C71" s="22"/>
      <c r="D71" s="22"/>
      <c r="E71" s="27"/>
      <c r="F71" s="27"/>
      <c r="G71" s="17"/>
      <c r="H71" s="17"/>
      <c r="I71" s="17"/>
      <c r="J71" s="17"/>
      <c r="K71" s="20"/>
      <c r="L71" s="20"/>
      <c r="M71" s="26"/>
      <c r="N71" s="98"/>
      <c r="O71" s="17"/>
      <c r="P71" s="25"/>
      <c r="Q71" s="17"/>
      <c r="R71" s="118"/>
      <c r="S71" s="24"/>
      <c r="T71" s="98"/>
      <c r="U71" s="17"/>
      <c r="V71" s="17"/>
      <c r="W71" s="17"/>
      <c r="X71" s="135"/>
      <c r="Y71" s="119"/>
      <c r="Z71" s="17"/>
      <c r="AA71" s="22"/>
      <c r="AB71" s="22"/>
      <c r="AC71" s="22"/>
      <c r="AD71" s="22"/>
      <c r="AE71" s="23"/>
      <c r="AF71" s="23"/>
      <c r="AG71" s="22"/>
      <c r="AH71" s="22"/>
      <c r="AI71" s="17"/>
      <c r="AJ71" s="21"/>
      <c r="AK71" s="17"/>
      <c r="AL71" s="22"/>
      <c r="AM71" s="17"/>
      <c r="AN71" s="17"/>
      <c r="AO71" s="17"/>
      <c r="AP71" s="25"/>
      <c r="AQ71" s="17"/>
      <c r="AR71" s="29"/>
      <c r="AS71" s="29"/>
      <c r="AT71" s="29"/>
      <c r="AU71" s="22"/>
      <c r="AV71" s="29"/>
      <c r="AW71" s="29"/>
      <c r="AX71" s="16"/>
      <c r="AY71" s="17"/>
      <c r="AZ71" s="21"/>
      <c r="BA71" s="17"/>
      <c r="BB71" s="20"/>
      <c r="BC71" s="17"/>
      <c r="BD71" s="17"/>
      <c r="BE71" s="17"/>
      <c r="BF71" s="17"/>
      <c r="BG71" s="17"/>
      <c r="BH71" s="17"/>
      <c r="BI71" s="17"/>
      <c r="BJ71" s="17"/>
      <c r="BK71" s="17"/>
    </row>
    <row r="72" spans="1:63" ht="15.75" x14ac:dyDescent="0.25">
      <c r="A72" s="120"/>
      <c r="B72" s="22"/>
      <c r="C72" s="121"/>
      <c r="D72" s="121"/>
      <c r="E72" s="122"/>
      <c r="F72" s="122"/>
      <c r="G72" s="22"/>
      <c r="H72" s="22"/>
      <c r="I72" s="122"/>
      <c r="J72" s="22"/>
      <c r="K72" s="123"/>
      <c r="L72" s="123"/>
      <c r="M72" s="118"/>
      <c r="N72" s="124"/>
      <c r="O72" s="22"/>
      <c r="P72" s="125"/>
      <c r="Q72" s="22"/>
      <c r="R72" s="119"/>
      <c r="S72" s="140"/>
      <c r="T72" s="127"/>
      <c r="U72" s="128"/>
      <c r="V72" s="22"/>
      <c r="W72" s="119"/>
      <c r="X72" s="129"/>
      <c r="Y72" s="119"/>
      <c r="Z72" s="22"/>
      <c r="AA72" s="130"/>
      <c r="AB72" s="130"/>
      <c r="AC72" s="103"/>
      <c r="AD72" s="130"/>
      <c r="AE72" s="103"/>
      <c r="AF72" s="130"/>
      <c r="AG72" s="103"/>
      <c r="AH72" s="130"/>
      <c r="AI72" s="22"/>
      <c r="AJ72" s="131"/>
      <c r="AK72" s="22"/>
      <c r="AL72" s="130"/>
      <c r="AM72" s="132"/>
      <c r="AN72" s="103"/>
      <c r="AO72" s="132"/>
      <c r="AP72" s="126"/>
      <c r="AQ72" s="132"/>
      <c r="AR72" s="29"/>
      <c r="AS72" s="29"/>
      <c r="AT72" s="29"/>
      <c r="AU72" s="22"/>
      <c r="AV72" s="122"/>
      <c r="AW72" s="130"/>
      <c r="AX72" s="130"/>
      <c r="AY72" s="22"/>
      <c r="AZ72" s="133"/>
      <c r="BA72" s="22"/>
      <c r="BB72" s="126"/>
      <c r="BC72" s="22"/>
      <c r="BD72" s="22"/>
      <c r="BE72" s="22"/>
      <c r="BF72" s="22"/>
      <c r="BG72" s="22"/>
      <c r="BH72" s="22"/>
      <c r="BI72" s="22"/>
      <c r="BJ72" s="22"/>
      <c r="BK72" s="22"/>
    </row>
    <row r="73" spans="1:63" ht="15.75" x14ac:dyDescent="0.25">
      <c r="A73" s="120"/>
      <c r="B73" s="22"/>
      <c r="C73" s="121"/>
      <c r="D73" s="121"/>
      <c r="E73" s="122"/>
      <c r="F73" s="122"/>
      <c r="G73" s="22"/>
      <c r="H73" s="22"/>
      <c r="I73" s="122"/>
      <c r="J73" s="22"/>
      <c r="K73" s="123"/>
      <c r="L73" s="123"/>
      <c r="M73" s="118"/>
      <c r="N73" s="124"/>
      <c r="O73" s="22"/>
      <c r="P73" s="125"/>
      <c r="Q73" s="22"/>
      <c r="R73" s="119"/>
      <c r="S73" s="140"/>
      <c r="T73" s="127"/>
      <c r="U73" s="128"/>
      <c r="V73" s="22"/>
      <c r="W73" s="119"/>
      <c r="X73" s="129"/>
      <c r="Y73" s="119"/>
      <c r="Z73" s="22"/>
      <c r="AA73" s="130"/>
      <c r="AB73" s="130"/>
      <c r="AC73" s="103"/>
      <c r="AD73" s="130"/>
      <c r="AE73" s="103"/>
      <c r="AF73" s="130"/>
      <c r="AG73" s="103"/>
      <c r="AH73" s="130"/>
      <c r="AI73" s="22"/>
      <c r="AJ73" s="131"/>
      <c r="AK73" s="22"/>
      <c r="AL73" s="130"/>
      <c r="AM73" s="132"/>
      <c r="AN73" s="103"/>
      <c r="AO73" s="132"/>
      <c r="AP73" s="126"/>
      <c r="AQ73" s="132"/>
      <c r="AR73" s="29"/>
      <c r="AS73" s="29"/>
      <c r="AT73" s="29"/>
      <c r="AU73" s="22"/>
      <c r="AV73" s="122"/>
      <c r="AW73" s="130"/>
      <c r="AX73" s="130"/>
      <c r="AY73" s="22"/>
      <c r="AZ73" s="133"/>
      <c r="BA73" s="22"/>
      <c r="BB73" s="126"/>
      <c r="BC73" s="22"/>
      <c r="BD73" s="22"/>
      <c r="BE73" s="22"/>
      <c r="BF73" s="22"/>
      <c r="BG73" s="22"/>
      <c r="BH73" s="22"/>
      <c r="BI73" s="22"/>
      <c r="BJ73" s="22"/>
      <c r="BK73" s="22"/>
    </row>
    <row r="74" spans="1:63" ht="15.75" x14ac:dyDescent="0.25">
      <c r="A74" s="120"/>
      <c r="B74" s="22"/>
      <c r="C74" s="121"/>
      <c r="D74" s="121"/>
      <c r="E74" s="122"/>
      <c r="F74" s="122"/>
      <c r="G74" s="22"/>
      <c r="H74" s="22"/>
      <c r="I74" s="122"/>
      <c r="J74" s="22"/>
      <c r="K74" s="123"/>
      <c r="L74" s="123"/>
      <c r="M74" s="118"/>
      <c r="N74" s="124"/>
      <c r="O74" s="22"/>
      <c r="P74" s="125"/>
      <c r="Q74" s="22"/>
      <c r="R74" s="119"/>
      <c r="S74" s="140"/>
      <c r="T74" s="127"/>
      <c r="U74" s="128"/>
      <c r="V74" s="22"/>
      <c r="W74" s="119"/>
      <c r="X74" s="129"/>
      <c r="Y74" s="119"/>
      <c r="Z74" s="22"/>
      <c r="AA74" s="130"/>
      <c r="AB74" s="130"/>
      <c r="AC74" s="103"/>
      <c r="AD74" s="130"/>
      <c r="AE74" s="103"/>
      <c r="AF74" s="130"/>
      <c r="AG74" s="103"/>
      <c r="AH74" s="130"/>
      <c r="AI74" s="22"/>
      <c r="AJ74" s="131"/>
      <c r="AK74" s="22"/>
      <c r="AL74" s="130"/>
      <c r="AM74" s="132"/>
      <c r="AN74" s="103"/>
      <c r="AO74" s="132"/>
      <c r="AP74" s="126"/>
      <c r="AQ74" s="132"/>
      <c r="AR74" s="29"/>
      <c r="AS74" s="29"/>
      <c r="AT74" s="29"/>
      <c r="AU74" s="22"/>
      <c r="AV74" s="122"/>
      <c r="AW74" s="130"/>
      <c r="AX74" s="130"/>
      <c r="AY74" s="22"/>
      <c r="AZ74" s="133"/>
      <c r="BA74" s="22"/>
      <c r="BB74" s="126"/>
      <c r="BC74" s="22"/>
      <c r="BD74" s="22"/>
      <c r="BE74" s="22"/>
      <c r="BF74" s="22"/>
      <c r="BG74" s="22"/>
      <c r="BH74" s="22"/>
      <c r="BI74" s="22"/>
      <c r="BJ74" s="22"/>
      <c r="BK74" s="22"/>
    </row>
    <row r="75" spans="1:63" ht="15.75" x14ac:dyDescent="0.25">
      <c r="A75" s="120"/>
      <c r="B75" s="22"/>
      <c r="C75" s="121"/>
      <c r="D75" s="121"/>
      <c r="E75" s="122"/>
      <c r="F75" s="122"/>
      <c r="G75" s="22"/>
      <c r="H75" s="22"/>
      <c r="I75" s="122"/>
      <c r="J75" s="22"/>
      <c r="K75" s="123"/>
      <c r="L75" s="123"/>
      <c r="M75" s="118"/>
      <c r="N75" s="124"/>
      <c r="O75" s="22"/>
      <c r="P75" s="125"/>
      <c r="Q75" s="22"/>
      <c r="R75" s="119"/>
      <c r="S75" s="140"/>
      <c r="T75" s="127"/>
      <c r="U75" s="128"/>
      <c r="V75" s="22"/>
      <c r="W75" s="119"/>
      <c r="X75" s="129"/>
      <c r="Y75" s="119"/>
      <c r="Z75" s="22"/>
      <c r="AA75" s="130"/>
      <c r="AB75" s="130"/>
      <c r="AC75" s="103"/>
      <c r="AD75" s="130"/>
      <c r="AE75" s="103"/>
      <c r="AF75" s="130"/>
      <c r="AG75" s="103"/>
      <c r="AH75" s="130"/>
      <c r="AI75" s="22"/>
      <c r="AJ75" s="131"/>
      <c r="AK75" s="22"/>
      <c r="AL75" s="130"/>
      <c r="AM75" s="132"/>
      <c r="AN75" s="103"/>
      <c r="AO75" s="132"/>
      <c r="AP75" s="126"/>
      <c r="AQ75" s="132"/>
      <c r="AR75" s="29"/>
      <c r="AS75" s="29"/>
      <c r="AT75" s="29"/>
      <c r="AU75" s="22"/>
      <c r="AV75" s="122"/>
      <c r="AW75" s="130"/>
      <c r="AX75" s="130"/>
      <c r="AY75" s="22"/>
      <c r="AZ75" s="133"/>
      <c r="BA75" s="22"/>
      <c r="BB75" s="126"/>
      <c r="BC75" s="22"/>
      <c r="BD75" s="22"/>
      <c r="BE75" s="22"/>
      <c r="BF75" s="22"/>
      <c r="BG75" s="22"/>
      <c r="BH75" s="22"/>
      <c r="BI75" s="22"/>
      <c r="BJ75" s="22"/>
      <c r="BK75" s="22"/>
    </row>
    <row r="76" spans="1:63" ht="15.75" x14ac:dyDescent="0.25">
      <c r="A76" s="120"/>
      <c r="B76" s="22"/>
      <c r="C76" s="121"/>
      <c r="D76" s="121"/>
      <c r="E76" s="122"/>
      <c r="F76" s="122"/>
      <c r="G76" s="22"/>
      <c r="H76" s="22"/>
      <c r="I76" s="122"/>
      <c r="J76" s="22"/>
      <c r="K76" s="123"/>
      <c r="L76" s="123"/>
      <c r="M76" s="118"/>
      <c r="N76" s="124"/>
      <c r="O76" s="22"/>
      <c r="P76" s="125"/>
      <c r="Q76" s="22"/>
      <c r="R76" s="119"/>
      <c r="S76" s="140"/>
      <c r="T76" s="127"/>
      <c r="U76" s="128"/>
      <c r="V76" s="22"/>
      <c r="W76" s="119"/>
      <c r="X76" s="129"/>
      <c r="Y76" s="119"/>
      <c r="Z76" s="22"/>
      <c r="AA76" s="130"/>
      <c r="AB76" s="130"/>
      <c r="AC76" s="103"/>
      <c r="AD76" s="130"/>
      <c r="AE76" s="103"/>
      <c r="AF76" s="130"/>
      <c r="AG76" s="103"/>
      <c r="AH76" s="130"/>
      <c r="AI76" s="22"/>
      <c r="AJ76" s="131"/>
      <c r="AK76" s="22"/>
      <c r="AL76" s="130"/>
      <c r="AM76" s="132"/>
      <c r="AN76" s="103"/>
      <c r="AO76" s="132"/>
      <c r="AP76" s="126"/>
      <c r="AQ76" s="132"/>
      <c r="AR76" s="29"/>
      <c r="AS76" s="29"/>
      <c r="AT76" s="29"/>
      <c r="AU76" s="22"/>
      <c r="AV76" s="122"/>
      <c r="AW76" s="130"/>
      <c r="AX76" s="130"/>
      <c r="AY76" s="22"/>
      <c r="AZ76" s="133"/>
      <c r="BA76" s="22"/>
      <c r="BB76" s="126"/>
      <c r="BC76" s="22"/>
      <c r="BD76" s="22"/>
      <c r="BE76" s="22"/>
      <c r="BF76" s="22"/>
      <c r="BG76" s="22"/>
      <c r="BH76" s="22"/>
      <c r="BI76" s="22"/>
      <c r="BJ76" s="22"/>
      <c r="BK76" s="22"/>
    </row>
    <row r="77" spans="1:63" ht="15.75" x14ac:dyDescent="0.25">
      <c r="A77" s="120"/>
      <c r="B77" s="22"/>
      <c r="C77" s="121"/>
      <c r="D77" s="121"/>
      <c r="E77" s="122"/>
      <c r="F77" s="122"/>
      <c r="G77" s="22"/>
      <c r="H77" s="22"/>
      <c r="I77" s="122"/>
      <c r="J77" s="22"/>
      <c r="K77" s="123"/>
      <c r="L77" s="123"/>
      <c r="M77" s="118"/>
      <c r="N77" s="124"/>
      <c r="O77" s="22"/>
      <c r="P77" s="125"/>
      <c r="Q77" s="22"/>
      <c r="R77" s="119"/>
      <c r="S77" s="140"/>
      <c r="T77" s="127"/>
      <c r="U77" s="128"/>
      <c r="V77" s="22"/>
      <c r="W77" s="119"/>
      <c r="X77" s="129"/>
      <c r="Y77" s="119"/>
      <c r="Z77" s="22"/>
      <c r="AA77" s="130"/>
      <c r="AB77" s="130"/>
      <c r="AC77" s="103"/>
      <c r="AD77" s="130"/>
      <c r="AE77" s="103"/>
      <c r="AF77" s="130"/>
      <c r="AG77" s="103"/>
      <c r="AH77" s="130"/>
      <c r="AI77" s="22"/>
      <c r="AJ77" s="131"/>
      <c r="AK77" s="22"/>
      <c r="AL77" s="130"/>
      <c r="AM77" s="132"/>
      <c r="AN77" s="103"/>
      <c r="AO77" s="132"/>
      <c r="AP77" s="126"/>
      <c r="AQ77" s="132"/>
      <c r="AR77" s="29"/>
      <c r="AS77" s="29"/>
      <c r="AT77" s="29"/>
      <c r="AU77" s="22"/>
      <c r="AV77" s="122"/>
      <c r="AW77" s="130"/>
      <c r="AX77" s="130"/>
      <c r="AY77" s="22"/>
      <c r="AZ77" s="133"/>
      <c r="BA77" s="22"/>
      <c r="BB77" s="126"/>
      <c r="BC77" s="22"/>
      <c r="BD77" s="22"/>
      <c r="BE77" s="22"/>
      <c r="BF77" s="22"/>
      <c r="BG77" s="22"/>
      <c r="BH77" s="22"/>
      <c r="BI77" s="22"/>
      <c r="BJ77" s="22"/>
      <c r="BK77" s="22"/>
    </row>
    <row r="78" spans="1:63" ht="15.75" x14ac:dyDescent="0.25">
      <c r="A78" s="120"/>
      <c r="B78" s="22"/>
      <c r="C78" s="121"/>
      <c r="D78" s="121"/>
      <c r="E78" s="122"/>
      <c r="F78" s="122"/>
      <c r="G78" s="22"/>
      <c r="H78" s="22"/>
      <c r="I78" s="122"/>
      <c r="J78" s="22"/>
      <c r="K78" s="123"/>
      <c r="L78" s="123"/>
      <c r="M78" s="118"/>
      <c r="N78" s="124"/>
      <c r="O78" s="22"/>
      <c r="P78" s="125"/>
      <c r="Q78" s="22"/>
      <c r="R78" s="119"/>
      <c r="S78" s="140"/>
      <c r="T78" s="127"/>
      <c r="U78" s="128"/>
      <c r="V78" s="22"/>
      <c r="W78" s="119"/>
      <c r="X78" s="129"/>
      <c r="Y78" s="119"/>
      <c r="Z78" s="22"/>
      <c r="AA78" s="130"/>
      <c r="AB78" s="130"/>
      <c r="AC78" s="103"/>
      <c r="AD78" s="130"/>
      <c r="AE78" s="103"/>
      <c r="AF78" s="130"/>
      <c r="AG78" s="103"/>
      <c r="AH78" s="130"/>
      <c r="AI78" s="22"/>
      <c r="AJ78" s="131"/>
      <c r="AK78" s="22"/>
      <c r="AL78" s="130"/>
      <c r="AM78" s="132"/>
      <c r="AN78" s="103"/>
      <c r="AO78" s="132"/>
      <c r="AP78" s="126"/>
      <c r="AQ78" s="132"/>
      <c r="AR78" s="29"/>
      <c r="AS78" s="29"/>
      <c r="AT78" s="29"/>
      <c r="AU78" s="22"/>
      <c r="AV78" s="122"/>
      <c r="AW78" s="130"/>
      <c r="AX78" s="130"/>
      <c r="AY78" s="22"/>
      <c r="AZ78" s="133"/>
      <c r="BA78" s="22"/>
      <c r="BB78" s="126"/>
      <c r="BC78" s="22"/>
      <c r="BD78" s="22"/>
      <c r="BE78" s="22"/>
      <c r="BF78" s="22"/>
      <c r="BG78" s="22"/>
      <c r="BH78" s="22"/>
      <c r="BI78" s="22"/>
      <c r="BJ78" s="22"/>
      <c r="BK78" s="22"/>
    </row>
    <row r="79" spans="1:63" ht="15.75" x14ac:dyDescent="0.25">
      <c r="A79" s="120"/>
      <c r="B79" s="22"/>
      <c r="C79" s="121"/>
      <c r="D79" s="121"/>
      <c r="E79" s="122"/>
      <c r="F79" s="122"/>
      <c r="G79" s="22"/>
      <c r="H79" s="22"/>
      <c r="I79" s="122"/>
      <c r="J79" s="22"/>
      <c r="K79" s="123"/>
      <c r="L79" s="123"/>
      <c r="M79" s="118"/>
      <c r="N79" s="124"/>
      <c r="O79" s="22"/>
      <c r="P79" s="125"/>
      <c r="Q79" s="22"/>
      <c r="R79" s="119"/>
      <c r="S79" s="140"/>
      <c r="T79" s="127"/>
      <c r="U79" s="128"/>
      <c r="V79" s="22"/>
      <c r="W79" s="119"/>
      <c r="X79" s="129"/>
      <c r="Y79" s="119"/>
      <c r="Z79" s="22"/>
      <c r="AA79" s="130"/>
      <c r="AB79" s="130"/>
      <c r="AC79" s="103"/>
      <c r="AD79" s="130"/>
      <c r="AE79" s="103"/>
      <c r="AF79" s="130"/>
      <c r="AG79" s="103"/>
      <c r="AH79" s="130"/>
      <c r="AI79" s="22"/>
      <c r="AJ79" s="131"/>
      <c r="AK79" s="22"/>
      <c r="AL79" s="130"/>
      <c r="AM79" s="132"/>
      <c r="AN79" s="103"/>
      <c r="AO79" s="132"/>
      <c r="AP79" s="126"/>
      <c r="AQ79" s="132"/>
      <c r="AR79" s="29"/>
      <c r="AS79" s="29"/>
      <c r="AT79" s="29"/>
      <c r="AU79" s="22"/>
      <c r="AV79" s="122"/>
      <c r="AW79" s="130"/>
      <c r="AX79" s="130"/>
      <c r="AY79" s="22"/>
      <c r="AZ79" s="133"/>
      <c r="BA79" s="22"/>
      <c r="BB79" s="126"/>
      <c r="BC79" s="22"/>
      <c r="BD79" s="22"/>
      <c r="BE79" s="22"/>
      <c r="BF79" s="22"/>
      <c r="BG79" s="22"/>
      <c r="BH79" s="22"/>
      <c r="BI79" s="22"/>
      <c r="BJ79" s="22"/>
      <c r="BK79" s="22"/>
    </row>
    <row r="80" spans="1:63" ht="15.75" x14ac:dyDescent="0.25">
      <c r="A80" s="120"/>
      <c r="B80" s="22"/>
      <c r="C80" s="121"/>
      <c r="D80" s="121"/>
      <c r="E80" s="122"/>
      <c r="F80" s="122"/>
      <c r="G80" s="22"/>
      <c r="H80" s="22"/>
      <c r="I80" s="122"/>
      <c r="J80" s="22"/>
      <c r="K80" s="123"/>
      <c r="L80" s="123"/>
      <c r="M80" s="118"/>
      <c r="N80" s="124"/>
      <c r="O80" s="22"/>
      <c r="P80" s="125"/>
      <c r="Q80" s="22"/>
      <c r="R80" s="119"/>
      <c r="S80" s="140"/>
      <c r="T80" s="127"/>
      <c r="U80" s="128"/>
      <c r="V80" s="22"/>
      <c r="W80" s="119"/>
      <c r="X80" s="129"/>
      <c r="Y80" s="119"/>
      <c r="Z80" s="22"/>
      <c r="AA80" s="130"/>
      <c r="AB80" s="130"/>
      <c r="AC80" s="103"/>
      <c r="AD80" s="130"/>
      <c r="AE80" s="103"/>
      <c r="AF80" s="130"/>
      <c r="AG80" s="103"/>
      <c r="AH80" s="130"/>
      <c r="AI80" s="22"/>
      <c r="AJ80" s="131"/>
      <c r="AK80" s="22"/>
      <c r="AL80" s="130"/>
      <c r="AM80" s="132"/>
      <c r="AN80" s="103"/>
      <c r="AO80" s="132"/>
      <c r="AP80" s="126"/>
      <c r="AQ80" s="132"/>
      <c r="AR80" s="29"/>
      <c r="AS80" s="29"/>
      <c r="AT80" s="29"/>
      <c r="AU80" s="22"/>
      <c r="AV80" s="122"/>
      <c r="AW80" s="130"/>
      <c r="AX80" s="130"/>
      <c r="AY80" s="22"/>
      <c r="AZ80" s="133"/>
      <c r="BA80" s="22"/>
      <c r="BB80" s="126"/>
      <c r="BC80" s="22"/>
      <c r="BD80" s="22"/>
      <c r="BE80" s="22"/>
      <c r="BF80" s="22"/>
      <c r="BG80" s="22"/>
      <c r="BH80" s="22"/>
      <c r="BI80" s="22"/>
      <c r="BJ80" s="22"/>
      <c r="BK80" s="22"/>
    </row>
    <row r="81" spans="1:63" ht="15.75" x14ac:dyDescent="0.25">
      <c r="A81" s="120"/>
      <c r="B81" s="22"/>
      <c r="C81" s="121"/>
      <c r="D81" s="121"/>
      <c r="E81" s="122"/>
      <c r="F81" s="122"/>
      <c r="G81" s="22"/>
      <c r="H81" s="22"/>
      <c r="I81" s="122"/>
      <c r="J81" s="22"/>
      <c r="K81" s="123"/>
      <c r="L81" s="123"/>
      <c r="M81" s="118"/>
      <c r="N81" s="124"/>
      <c r="O81" s="22"/>
      <c r="P81" s="125"/>
      <c r="Q81" s="22"/>
      <c r="R81" s="119"/>
      <c r="S81" s="140"/>
      <c r="T81" s="127"/>
      <c r="U81" s="128"/>
      <c r="V81" s="22"/>
      <c r="W81" s="119"/>
      <c r="X81" s="129"/>
      <c r="Y81" s="119"/>
      <c r="Z81" s="22"/>
      <c r="AA81" s="130"/>
      <c r="AB81" s="130"/>
      <c r="AC81" s="103"/>
      <c r="AD81" s="130"/>
      <c r="AE81" s="103"/>
      <c r="AF81" s="130"/>
      <c r="AG81" s="103"/>
      <c r="AH81" s="130"/>
      <c r="AI81" s="22"/>
      <c r="AJ81" s="131"/>
      <c r="AK81" s="22"/>
      <c r="AL81" s="130"/>
      <c r="AM81" s="132"/>
      <c r="AN81" s="103"/>
      <c r="AO81" s="132"/>
      <c r="AP81" s="126"/>
      <c r="AQ81" s="132"/>
      <c r="AR81" s="29"/>
      <c r="AS81" s="29"/>
      <c r="AT81" s="29"/>
      <c r="AU81" s="22"/>
      <c r="AV81" s="122"/>
      <c r="AW81" s="130"/>
      <c r="AX81" s="130"/>
      <c r="AY81" s="22"/>
      <c r="AZ81" s="133"/>
      <c r="BA81" s="22"/>
      <c r="BB81" s="126"/>
      <c r="BC81" s="22"/>
      <c r="BD81" s="22"/>
      <c r="BE81" s="22"/>
      <c r="BF81" s="22"/>
      <c r="BG81" s="22"/>
      <c r="BH81" s="22"/>
      <c r="BI81" s="22"/>
      <c r="BJ81" s="22"/>
      <c r="BK81" s="22"/>
    </row>
    <row r="82" spans="1:63" ht="15.75" x14ac:dyDescent="0.25">
      <c r="A82" s="120"/>
      <c r="B82" s="22"/>
      <c r="C82" s="121"/>
      <c r="D82" s="121"/>
      <c r="E82" s="122"/>
      <c r="F82" s="122"/>
      <c r="G82" s="22"/>
      <c r="H82" s="22"/>
      <c r="I82" s="122"/>
      <c r="J82" s="22"/>
      <c r="K82" s="123"/>
      <c r="L82" s="123"/>
      <c r="M82" s="118"/>
      <c r="N82" s="124"/>
      <c r="O82" s="22"/>
      <c r="P82" s="125"/>
      <c r="Q82" s="22"/>
      <c r="R82" s="119"/>
      <c r="S82" s="140"/>
      <c r="T82" s="127"/>
      <c r="U82" s="128"/>
      <c r="V82" s="22"/>
      <c r="W82" s="119"/>
      <c r="X82" s="129"/>
      <c r="Y82" s="119"/>
      <c r="Z82" s="22"/>
      <c r="AA82" s="130"/>
      <c r="AB82" s="130"/>
      <c r="AC82" s="103"/>
      <c r="AD82" s="130"/>
      <c r="AE82" s="103"/>
      <c r="AF82" s="130"/>
      <c r="AG82" s="103"/>
      <c r="AH82" s="130"/>
      <c r="AI82" s="22"/>
      <c r="AJ82" s="131"/>
      <c r="AK82" s="22"/>
      <c r="AL82" s="130"/>
      <c r="AM82" s="132"/>
      <c r="AN82" s="103"/>
      <c r="AO82" s="132"/>
      <c r="AP82" s="126"/>
      <c r="AQ82" s="132"/>
      <c r="AR82" s="29"/>
      <c r="AS82" s="29"/>
      <c r="AT82" s="29"/>
      <c r="AU82" s="22"/>
      <c r="AV82" s="122"/>
      <c r="AW82" s="130"/>
      <c r="AX82" s="130"/>
      <c r="AY82" s="22"/>
      <c r="AZ82" s="133"/>
      <c r="BA82" s="22"/>
      <c r="BB82" s="126"/>
      <c r="BC82" s="22"/>
      <c r="BD82" s="22"/>
      <c r="BE82" s="22"/>
      <c r="BF82" s="22"/>
      <c r="BG82" s="22"/>
      <c r="BH82" s="22"/>
      <c r="BI82" s="22"/>
      <c r="BJ82" s="22"/>
      <c r="BK82" s="22"/>
    </row>
    <row r="83" spans="1:63" ht="15.75" x14ac:dyDescent="0.25">
      <c r="A83" s="120"/>
      <c r="B83" s="22"/>
      <c r="C83" s="121"/>
      <c r="D83" s="121"/>
      <c r="E83" s="122"/>
      <c r="F83" s="122"/>
      <c r="G83" s="22"/>
      <c r="H83" s="22"/>
      <c r="I83" s="122"/>
      <c r="J83" s="22"/>
      <c r="K83" s="123"/>
      <c r="L83" s="123"/>
      <c r="M83" s="118"/>
      <c r="N83" s="124"/>
      <c r="O83" s="22"/>
      <c r="P83" s="125"/>
      <c r="Q83" s="22"/>
      <c r="R83" s="119"/>
      <c r="S83" s="140"/>
      <c r="T83" s="127"/>
      <c r="U83" s="128"/>
      <c r="V83" s="22"/>
      <c r="W83" s="119"/>
      <c r="X83" s="129"/>
      <c r="Y83" s="119"/>
      <c r="Z83" s="22"/>
      <c r="AA83" s="130"/>
      <c r="AB83" s="130"/>
      <c r="AC83" s="103"/>
      <c r="AD83" s="130"/>
      <c r="AE83" s="103"/>
      <c r="AF83" s="130"/>
      <c r="AG83" s="103"/>
      <c r="AH83" s="130"/>
      <c r="AI83" s="22"/>
      <c r="AJ83" s="131"/>
      <c r="AK83" s="22"/>
      <c r="AL83" s="130"/>
      <c r="AM83" s="132"/>
      <c r="AN83" s="103"/>
      <c r="AO83" s="132"/>
      <c r="AP83" s="126"/>
      <c r="AQ83" s="132"/>
      <c r="AR83" s="29"/>
      <c r="AS83" s="29"/>
      <c r="AT83" s="29"/>
      <c r="AU83" s="22"/>
      <c r="AV83" s="122"/>
      <c r="AW83" s="130"/>
      <c r="AX83" s="130"/>
      <c r="AY83" s="22"/>
      <c r="AZ83" s="133"/>
      <c r="BA83" s="22"/>
      <c r="BB83" s="126"/>
      <c r="BC83" s="22"/>
      <c r="BD83" s="22"/>
      <c r="BE83" s="22"/>
      <c r="BF83" s="22"/>
      <c r="BG83" s="22"/>
      <c r="BH83" s="22"/>
      <c r="BI83" s="22"/>
      <c r="BJ83" s="22"/>
      <c r="BK83" s="22"/>
    </row>
    <row r="84" spans="1:63" s="15" customFormat="1" ht="18.75" x14ac:dyDescent="0.25">
      <c r="A84" s="28"/>
      <c r="B84" s="134"/>
      <c r="C84" s="22"/>
      <c r="D84" s="22"/>
      <c r="E84" s="27"/>
      <c r="F84" s="122"/>
      <c r="G84" s="17"/>
      <c r="H84" s="17"/>
      <c r="I84" s="17"/>
      <c r="J84" s="17"/>
      <c r="K84" s="20"/>
      <c r="L84" s="123"/>
      <c r="M84" s="26"/>
      <c r="N84" s="98"/>
      <c r="O84" s="17"/>
      <c r="P84" s="25"/>
      <c r="Q84" s="17"/>
      <c r="R84" s="118"/>
      <c r="S84" s="24"/>
      <c r="T84" s="98"/>
      <c r="U84" s="17"/>
      <c r="V84" s="17"/>
      <c r="W84" s="17"/>
      <c r="X84" s="129"/>
      <c r="Y84" s="119"/>
      <c r="Z84" s="17"/>
      <c r="AA84" s="22"/>
      <c r="AB84" s="22"/>
      <c r="AC84" s="22"/>
      <c r="AD84" s="22"/>
      <c r="AE84" s="23"/>
      <c r="AF84" s="23"/>
      <c r="AG84" s="22"/>
      <c r="AH84" s="22"/>
      <c r="AI84" s="17"/>
      <c r="AJ84" s="21"/>
      <c r="AK84" s="17"/>
      <c r="AL84" s="17"/>
      <c r="AM84" s="17"/>
      <c r="AN84" s="17"/>
      <c r="AO84" s="17"/>
      <c r="AP84" s="25"/>
      <c r="AQ84" s="17"/>
      <c r="AR84" s="16"/>
      <c r="AS84" s="16"/>
      <c r="AT84" s="16"/>
      <c r="AU84" s="17"/>
      <c r="AV84" s="16"/>
      <c r="AW84" s="16"/>
      <c r="AX84" s="16"/>
      <c r="AY84" s="17"/>
      <c r="AZ84" s="21"/>
      <c r="BA84" s="17"/>
      <c r="BB84" s="20"/>
      <c r="BC84" s="17"/>
      <c r="BD84" s="17"/>
      <c r="BE84" s="22"/>
      <c r="BF84" s="17"/>
      <c r="BG84" s="17"/>
      <c r="BH84" s="17"/>
      <c r="BI84" s="17"/>
      <c r="BJ84" s="17"/>
      <c r="BK84" s="17"/>
    </row>
    <row r="85" spans="1:63" ht="18.75" x14ac:dyDescent="0.25">
      <c r="A85" s="28"/>
      <c r="B85" s="134"/>
      <c r="C85" s="22"/>
      <c r="D85" s="121"/>
      <c r="E85" s="22"/>
      <c r="F85" s="22"/>
      <c r="G85" s="22"/>
      <c r="H85" s="17"/>
      <c r="I85" s="17"/>
      <c r="J85" s="17"/>
      <c r="K85" s="20"/>
      <c r="L85" s="20"/>
      <c r="M85" s="26"/>
      <c r="N85" s="98"/>
      <c r="O85" s="17"/>
      <c r="P85" s="25"/>
      <c r="Q85" s="17"/>
      <c r="R85" s="118"/>
      <c r="S85" s="24"/>
      <c r="T85" s="98"/>
      <c r="U85" s="17"/>
      <c r="V85" s="17"/>
      <c r="W85" s="17"/>
      <c r="X85" s="135"/>
      <c r="Y85" s="119"/>
      <c r="Z85" s="17"/>
      <c r="AA85" s="22"/>
      <c r="AB85" s="22"/>
      <c r="AC85" s="22"/>
      <c r="AD85" s="22"/>
      <c r="AE85" s="23"/>
      <c r="AF85" s="23"/>
      <c r="AG85" s="22"/>
      <c r="AH85" s="22"/>
      <c r="AI85" s="17"/>
      <c r="AJ85" s="21"/>
      <c r="AK85" s="17"/>
      <c r="AL85" s="22"/>
      <c r="AM85" s="17"/>
      <c r="AN85" s="17"/>
      <c r="AO85" s="17"/>
      <c r="AP85" s="25"/>
      <c r="AQ85" s="17"/>
      <c r="AR85" s="29"/>
      <c r="AS85" s="29"/>
      <c r="AT85" s="29"/>
      <c r="AU85" s="22"/>
      <c r="AV85" s="29"/>
      <c r="AW85" s="29"/>
      <c r="AX85" s="29"/>
      <c r="AY85" s="22"/>
      <c r="AZ85" s="21"/>
      <c r="BA85" s="17"/>
      <c r="BB85" s="20"/>
      <c r="BC85" s="17"/>
      <c r="BD85" s="17"/>
      <c r="BE85" s="17"/>
      <c r="BF85" s="17"/>
      <c r="BG85" s="17"/>
      <c r="BH85" s="17"/>
      <c r="BI85" s="17"/>
      <c r="BJ85" s="17"/>
      <c r="BK85" s="17"/>
    </row>
    <row r="86" spans="1:63" ht="18.75" x14ac:dyDescent="0.25">
      <c r="A86" s="28"/>
      <c r="B86" s="134"/>
      <c r="C86" s="22"/>
      <c r="D86" s="121"/>
      <c r="E86" s="22"/>
      <c r="F86" s="22"/>
      <c r="G86" s="22"/>
      <c r="H86" s="17"/>
      <c r="I86" s="17"/>
      <c r="J86" s="17"/>
      <c r="K86" s="20"/>
      <c r="L86" s="20"/>
      <c r="M86" s="26"/>
      <c r="N86" s="98"/>
      <c r="O86" s="17"/>
      <c r="P86" s="25"/>
      <c r="Q86" s="17"/>
      <c r="R86" s="118"/>
      <c r="S86" s="24"/>
      <c r="T86" s="98"/>
      <c r="U86" s="17"/>
      <c r="V86" s="17"/>
      <c r="W86" s="17"/>
      <c r="X86" s="135"/>
      <c r="Y86" s="119"/>
      <c r="Z86" s="17"/>
      <c r="AA86" s="22"/>
      <c r="AB86" s="22"/>
      <c r="AC86" s="22"/>
      <c r="AD86" s="22"/>
      <c r="AE86" s="23"/>
      <c r="AF86" s="23"/>
      <c r="AG86" s="22"/>
      <c r="AH86" s="22"/>
      <c r="AI86" s="17"/>
      <c r="AJ86" s="21"/>
      <c r="AK86" s="17"/>
      <c r="AL86" s="22"/>
      <c r="AM86" s="17"/>
      <c r="AN86" s="17"/>
      <c r="AO86" s="17"/>
      <c r="AP86" s="25"/>
      <c r="AQ86" s="17"/>
      <c r="AR86" s="29"/>
      <c r="AS86" s="29"/>
      <c r="AT86" s="29"/>
      <c r="AU86" s="22"/>
      <c r="AV86" s="29"/>
      <c r="AW86" s="29"/>
      <c r="AX86" s="29"/>
      <c r="AY86" s="22"/>
      <c r="AZ86" s="21"/>
      <c r="BA86" s="17"/>
      <c r="BB86" s="20"/>
      <c r="BC86" s="17"/>
      <c r="BD86" s="17"/>
      <c r="BE86" s="17"/>
      <c r="BF86" s="17"/>
      <c r="BG86" s="17"/>
      <c r="BH86" s="17"/>
      <c r="BI86" s="17"/>
      <c r="BJ86" s="17"/>
      <c r="BK86" s="17"/>
    </row>
    <row r="87" spans="1:63" ht="18.75" x14ac:dyDescent="0.25">
      <c r="A87" s="28"/>
      <c r="B87" s="17"/>
      <c r="C87" s="17"/>
      <c r="D87" s="22"/>
      <c r="E87" s="27"/>
      <c r="F87" s="27"/>
      <c r="G87" s="17"/>
      <c r="H87" s="17"/>
      <c r="I87" s="17"/>
      <c r="J87" s="17"/>
      <c r="K87" s="20"/>
      <c r="L87" s="20"/>
      <c r="M87" s="26"/>
      <c r="N87" s="98"/>
      <c r="O87" s="17"/>
      <c r="P87" s="25"/>
      <c r="Q87" s="17"/>
      <c r="R87" s="118"/>
      <c r="S87" s="24"/>
      <c r="T87" s="98"/>
      <c r="U87" s="17"/>
      <c r="V87" s="17"/>
      <c r="W87" s="17"/>
      <c r="X87" s="135"/>
      <c r="Y87" s="119"/>
      <c r="Z87" s="17"/>
      <c r="AA87" s="22"/>
      <c r="AB87" s="22"/>
      <c r="AC87" s="22"/>
      <c r="AD87" s="22"/>
      <c r="AE87" s="23"/>
      <c r="AF87" s="23"/>
      <c r="AG87" s="22"/>
      <c r="AH87" s="22"/>
      <c r="AI87" s="17"/>
      <c r="AJ87" s="21"/>
      <c r="AK87" s="17"/>
      <c r="AL87" s="17"/>
      <c r="AM87" s="17"/>
      <c r="AN87" s="17"/>
      <c r="AO87" s="17"/>
      <c r="AP87" s="25"/>
      <c r="AQ87" s="17"/>
      <c r="AR87" s="16"/>
      <c r="AS87" s="16"/>
      <c r="AT87" s="16"/>
      <c r="AU87" s="17"/>
      <c r="AV87" s="16"/>
      <c r="AW87" s="16"/>
      <c r="AX87" s="16"/>
      <c r="AY87" s="17"/>
      <c r="AZ87" s="21"/>
      <c r="BA87" s="17"/>
      <c r="BB87" s="20"/>
      <c r="BC87" s="17"/>
      <c r="BD87" s="17"/>
      <c r="BE87" s="17"/>
      <c r="BF87" s="17"/>
      <c r="BG87" s="17"/>
      <c r="BH87" s="17"/>
      <c r="BI87" s="17"/>
      <c r="BJ87" s="17"/>
      <c r="BK87" s="17"/>
    </row>
    <row r="88" spans="1:63" ht="18.75" x14ac:dyDescent="0.25">
      <c r="A88" s="28"/>
      <c r="B88" s="22"/>
      <c r="C88" s="22"/>
      <c r="D88" s="22"/>
      <c r="E88" s="27"/>
      <c r="F88" s="27"/>
      <c r="G88" s="17"/>
      <c r="H88" s="17"/>
      <c r="I88" s="17"/>
      <c r="J88" s="17"/>
      <c r="K88" s="20"/>
      <c r="L88" s="20"/>
      <c r="M88" s="26"/>
      <c r="N88" s="98"/>
      <c r="O88" s="17"/>
      <c r="P88" s="25"/>
      <c r="Q88" s="17"/>
      <c r="R88" s="118"/>
      <c r="S88" s="24"/>
      <c r="T88" s="98"/>
      <c r="U88" s="17"/>
      <c r="V88" s="17"/>
      <c r="W88" s="17"/>
      <c r="X88" s="135"/>
      <c r="Y88" s="119"/>
      <c r="Z88" s="17"/>
      <c r="AA88" s="22"/>
      <c r="AB88" s="22"/>
      <c r="AC88" s="22"/>
      <c r="AD88" s="22"/>
      <c r="AE88" s="23"/>
      <c r="AF88" s="23"/>
      <c r="AG88" s="22"/>
      <c r="AH88" s="22"/>
      <c r="AI88" s="17"/>
      <c r="AJ88" s="21"/>
      <c r="AK88" s="17"/>
      <c r="AL88" s="17"/>
      <c r="AM88" s="17"/>
      <c r="AN88" s="17"/>
      <c r="AO88" s="17"/>
      <c r="AP88" s="25"/>
      <c r="AQ88" s="17"/>
      <c r="AR88" s="16"/>
      <c r="AS88" s="16"/>
      <c r="AT88" s="16"/>
      <c r="AU88" s="17"/>
      <c r="AV88" s="16"/>
      <c r="AW88" s="16"/>
      <c r="AX88" s="16"/>
      <c r="AY88" s="17"/>
      <c r="AZ88" s="21"/>
      <c r="BA88" s="17"/>
      <c r="BB88" s="20"/>
      <c r="BC88" s="17"/>
      <c r="BD88" s="17"/>
      <c r="BE88" s="17"/>
      <c r="BF88" s="17"/>
      <c r="BG88" s="17"/>
      <c r="BH88" s="17"/>
      <c r="BI88" s="17"/>
      <c r="BJ88" s="17"/>
      <c r="BK88" s="17"/>
    </row>
    <row r="89" spans="1:63" ht="15.75" x14ac:dyDescent="0.25">
      <c r="A89" s="120"/>
      <c r="B89" s="22"/>
      <c r="C89" s="121"/>
      <c r="D89" s="121"/>
      <c r="E89" s="122"/>
      <c r="F89" s="122"/>
      <c r="G89" s="22"/>
      <c r="H89" s="22"/>
      <c r="I89" s="122"/>
      <c r="J89" s="22"/>
      <c r="K89" s="123"/>
      <c r="L89" s="123"/>
      <c r="M89" s="118"/>
      <c r="N89" s="124"/>
      <c r="O89" s="22"/>
      <c r="P89" s="125"/>
      <c r="Q89" s="22"/>
      <c r="R89" s="119"/>
      <c r="S89" s="140"/>
      <c r="T89" s="127"/>
      <c r="U89" s="128"/>
      <c r="V89" s="22"/>
      <c r="W89" s="119"/>
      <c r="X89" s="129"/>
      <c r="Y89" s="119"/>
      <c r="Z89" s="22"/>
      <c r="AA89" s="130"/>
      <c r="AB89" s="130"/>
      <c r="AC89" s="103"/>
      <c r="AD89" s="130"/>
      <c r="AE89" s="103"/>
      <c r="AF89" s="130"/>
      <c r="AG89" s="103"/>
      <c r="AH89" s="130"/>
      <c r="AI89" s="22"/>
      <c r="AJ89" s="131"/>
      <c r="AK89" s="22"/>
      <c r="AL89" s="130"/>
      <c r="AM89" s="132"/>
      <c r="AN89" s="103"/>
      <c r="AO89" s="132"/>
      <c r="AP89" s="126"/>
      <c r="AQ89" s="132"/>
      <c r="AR89" s="29"/>
      <c r="AS89" s="29"/>
      <c r="AT89" s="29"/>
      <c r="AU89" s="22"/>
      <c r="AV89" s="122"/>
      <c r="AW89" s="130"/>
      <c r="AX89" s="130"/>
      <c r="AY89" s="22"/>
      <c r="AZ89" s="133"/>
      <c r="BA89" s="22"/>
      <c r="BB89" s="126"/>
      <c r="BC89" s="22"/>
      <c r="BD89" s="22"/>
      <c r="BE89" s="22"/>
      <c r="BF89" s="22"/>
      <c r="BG89" s="22"/>
      <c r="BH89" s="22"/>
      <c r="BI89" s="22"/>
      <c r="BJ89" s="22"/>
      <c r="BK89" s="22"/>
    </row>
    <row r="90" spans="1:63" ht="15.75" x14ac:dyDescent="0.25">
      <c r="A90" s="120"/>
      <c r="B90" s="22"/>
      <c r="C90" s="121"/>
      <c r="D90" s="121"/>
      <c r="E90" s="122"/>
      <c r="F90" s="122"/>
      <c r="G90" s="22"/>
      <c r="H90" s="22"/>
      <c r="I90" s="122"/>
      <c r="J90" s="22"/>
      <c r="K90" s="123"/>
      <c r="L90" s="123"/>
      <c r="M90" s="118"/>
      <c r="N90" s="124"/>
      <c r="O90" s="22"/>
      <c r="P90" s="125"/>
      <c r="Q90" s="22"/>
      <c r="R90" s="119"/>
      <c r="S90" s="140"/>
      <c r="T90" s="127"/>
      <c r="U90" s="128"/>
      <c r="V90" s="22"/>
      <c r="W90" s="119"/>
      <c r="X90" s="129"/>
      <c r="Y90" s="119"/>
      <c r="Z90" s="22"/>
      <c r="AA90" s="130"/>
      <c r="AB90" s="130"/>
      <c r="AC90" s="103"/>
      <c r="AD90" s="130"/>
      <c r="AE90" s="103"/>
      <c r="AF90" s="130"/>
      <c r="AG90" s="103"/>
      <c r="AH90" s="130"/>
      <c r="AI90" s="22"/>
      <c r="AJ90" s="131"/>
      <c r="AK90" s="22"/>
      <c r="AL90" s="130"/>
      <c r="AM90" s="132"/>
      <c r="AN90" s="103"/>
      <c r="AO90" s="132"/>
      <c r="AP90" s="126"/>
      <c r="AQ90" s="132"/>
      <c r="AR90" s="29"/>
      <c r="AS90" s="29"/>
      <c r="AT90" s="29"/>
      <c r="AU90" s="22"/>
      <c r="AV90" s="122"/>
      <c r="AW90" s="130"/>
      <c r="AX90" s="130"/>
      <c r="AY90" s="22"/>
      <c r="AZ90" s="133"/>
      <c r="BA90" s="22"/>
      <c r="BB90" s="126"/>
      <c r="BC90" s="22"/>
      <c r="BD90" s="22"/>
      <c r="BE90" s="22"/>
      <c r="BF90" s="22"/>
      <c r="BG90" s="22"/>
      <c r="BH90" s="22"/>
      <c r="BI90" s="22"/>
      <c r="BJ90" s="22"/>
      <c r="BK90" s="22"/>
    </row>
    <row r="91" spans="1:63" ht="15.75" x14ac:dyDescent="0.25">
      <c r="A91" s="120"/>
      <c r="B91" s="22"/>
      <c r="C91" s="121"/>
      <c r="D91" s="121"/>
      <c r="E91" s="122"/>
      <c r="F91" s="122"/>
      <c r="G91" s="22"/>
      <c r="H91" s="22"/>
      <c r="I91" s="122"/>
      <c r="J91" s="22"/>
      <c r="K91" s="123"/>
      <c r="L91" s="123"/>
      <c r="M91" s="118"/>
      <c r="N91" s="124"/>
      <c r="O91" s="22"/>
      <c r="P91" s="125"/>
      <c r="Q91" s="22"/>
      <c r="R91" s="119"/>
      <c r="S91" s="140"/>
      <c r="T91" s="127"/>
      <c r="U91" s="128"/>
      <c r="V91" s="22"/>
      <c r="W91" s="119"/>
      <c r="X91" s="129"/>
      <c r="Y91" s="119"/>
      <c r="Z91" s="22"/>
      <c r="AA91" s="130"/>
      <c r="AB91" s="130"/>
      <c r="AC91" s="103"/>
      <c r="AD91" s="130"/>
      <c r="AE91" s="103"/>
      <c r="AF91" s="130"/>
      <c r="AG91" s="103"/>
      <c r="AH91" s="130"/>
      <c r="AI91" s="22"/>
      <c r="AJ91" s="131"/>
      <c r="AK91" s="22"/>
      <c r="AL91" s="130"/>
      <c r="AM91" s="132"/>
      <c r="AN91" s="103"/>
      <c r="AO91" s="132"/>
      <c r="AP91" s="126"/>
      <c r="AQ91" s="132"/>
      <c r="AR91" s="29"/>
      <c r="AS91" s="29"/>
      <c r="AT91" s="29"/>
      <c r="AU91" s="22"/>
      <c r="AV91" s="122"/>
      <c r="AW91" s="130"/>
      <c r="AX91" s="130"/>
      <c r="AY91" s="22"/>
      <c r="AZ91" s="133"/>
      <c r="BA91" s="22"/>
      <c r="BB91" s="126"/>
      <c r="BC91" s="22"/>
      <c r="BD91" s="22"/>
      <c r="BE91" s="22"/>
      <c r="BF91" s="22"/>
      <c r="BG91" s="22"/>
      <c r="BH91" s="22"/>
      <c r="BI91" s="22"/>
      <c r="BJ91" s="22"/>
      <c r="BK91" s="22"/>
    </row>
    <row r="92" spans="1:63" ht="15.75" x14ac:dyDescent="0.25">
      <c r="A92" s="120"/>
      <c r="B92" s="22"/>
      <c r="C92" s="121"/>
      <c r="D92" s="121"/>
      <c r="E92" s="122"/>
      <c r="F92" s="122"/>
      <c r="G92" s="22"/>
      <c r="H92" s="22"/>
      <c r="I92" s="122"/>
      <c r="J92" s="22"/>
      <c r="K92" s="123"/>
      <c r="L92" s="123"/>
      <c r="M92" s="118"/>
      <c r="N92" s="124"/>
      <c r="O92" s="22"/>
      <c r="P92" s="125"/>
      <c r="Q92" s="22"/>
      <c r="R92" s="119"/>
      <c r="S92" s="140"/>
      <c r="T92" s="127"/>
      <c r="U92" s="128"/>
      <c r="V92" s="22"/>
      <c r="W92" s="119"/>
      <c r="X92" s="129"/>
      <c r="Y92" s="119"/>
      <c r="Z92" s="22"/>
      <c r="AA92" s="130"/>
      <c r="AB92" s="130"/>
      <c r="AC92" s="103"/>
      <c r="AD92" s="130"/>
      <c r="AE92" s="103"/>
      <c r="AF92" s="130"/>
      <c r="AG92" s="103"/>
      <c r="AH92" s="130"/>
      <c r="AI92" s="22"/>
      <c r="AJ92" s="131"/>
      <c r="AK92" s="22"/>
      <c r="AL92" s="130"/>
      <c r="AM92" s="132"/>
      <c r="AN92" s="103"/>
      <c r="AO92" s="132"/>
      <c r="AP92" s="126"/>
      <c r="AQ92" s="132"/>
      <c r="AR92" s="29"/>
      <c r="AS92" s="29"/>
      <c r="AT92" s="29"/>
      <c r="AU92" s="22"/>
      <c r="AV92" s="122"/>
      <c r="AW92" s="130"/>
      <c r="AX92" s="130"/>
      <c r="AY92" s="22"/>
      <c r="AZ92" s="133"/>
      <c r="BA92" s="22"/>
      <c r="BB92" s="126"/>
      <c r="BC92" s="22"/>
      <c r="BD92" s="22"/>
      <c r="BE92" s="22"/>
      <c r="BF92" s="22"/>
      <c r="BG92" s="22"/>
      <c r="BH92" s="22"/>
      <c r="BI92" s="22"/>
      <c r="BJ92" s="22"/>
      <c r="BK92" s="22"/>
    </row>
    <row r="93" spans="1:63" ht="15.75" x14ac:dyDescent="0.25">
      <c r="A93" s="120"/>
      <c r="B93" s="22"/>
      <c r="C93" s="121"/>
      <c r="D93" s="121"/>
      <c r="E93" s="122"/>
      <c r="F93" s="122"/>
      <c r="G93" s="22"/>
      <c r="H93" s="22"/>
      <c r="I93" s="122"/>
      <c r="J93" s="22"/>
      <c r="K93" s="123"/>
      <c r="L93" s="123"/>
      <c r="M93" s="118"/>
      <c r="N93" s="124"/>
      <c r="O93" s="22"/>
      <c r="P93" s="125"/>
      <c r="Q93" s="22"/>
      <c r="R93" s="119"/>
      <c r="S93" s="140"/>
      <c r="T93" s="127"/>
      <c r="U93" s="128"/>
      <c r="V93" s="22"/>
      <c r="W93" s="119"/>
      <c r="X93" s="138"/>
      <c r="Y93" s="119"/>
      <c r="Z93" s="22"/>
      <c r="AA93" s="130"/>
      <c r="AB93" s="130"/>
      <c r="AC93" s="103"/>
      <c r="AD93" s="130"/>
      <c r="AE93" s="103"/>
      <c r="AF93" s="130"/>
      <c r="AG93" s="103"/>
      <c r="AH93" s="130"/>
      <c r="AI93" s="22"/>
      <c r="AJ93" s="131"/>
      <c r="AK93" s="22"/>
      <c r="AL93" s="130"/>
      <c r="AM93" s="132"/>
      <c r="AN93" s="103"/>
      <c r="AO93" s="132"/>
      <c r="AP93" s="126"/>
      <c r="AQ93" s="132"/>
      <c r="AR93" s="29"/>
      <c r="AS93" s="29"/>
      <c r="AT93" s="29"/>
      <c r="AU93" s="22"/>
      <c r="AV93" s="122"/>
      <c r="AW93" s="130"/>
      <c r="AX93" s="130"/>
      <c r="AY93" s="22"/>
      <c r="AZ93" s="133"/>
      <c r="BA93" s="22"/>
      <c r="BB93" s="126"/>
      <c r="BC93" s="22"/>
      <c r="BD93" s="22"/>
      <c r="BE93" s="22"/>
      <c r="BF93" s="22"/>
      <c r="BG93" s="22"/>
      <c r="BH93" s="22"/>
      <c r="BI93" s="22"/>
      <c r="BJ93" s="22"/>
      <c r="BK93" s="22"/>
    </row>
    <row r="94" spans="1:63" ht="15.75" x14ac:dyDescent="0.25">
      <c r="A94" s="120"/>
      <c r="B94" s="22"/>
      <c r="C94" s="121"/>
      <c r="D94" s="121"/>
      <c r="E94" s="122"/>
      <c r="F94" s="122"/>
      <c r="G94" s="22"/>
      <c r="H94" s="22"/>
      <c r="I94" s="122"/>
      <c r="J94" s="22"/>
      <c r="K94" s="123"/>
      <c r="L94" s="123"/>
      <c r="M94" s="118"/>
      <c r="N94" s="124"/>
      <c r="O94" s="22"/>
      <c r="P94" s="125"/>
      <c r="Q94" s="22"/>
      <c r="R94" s="119"/>
      <c r="S94" s="140"/>
      <c r="T94" s="127"/>
      <c r="U94" s="128"/>
      <c r="V94" s="22"/>
      <c r="W94" s="119"/>
      <c r="X94" s="129"/>
      <c r="Y94" s="119"/>
      <c r="Z94" s="22"/>
      <c r="AA94" s="130"/>
      <c r="AB94" s="130"/>
      <c r="AC94" s="103"/>
      <c r="AD94" s="130"/>
      <c r="AE94" s="103"/>
      <c r="AF94" s="130"/>
      <c r="AG94" s="103"/>
      <c r="AH94" s="130"/>
      <c r="AI94" s="22"/>
      <c r="AJ94" s="131"/>
      <c r="AK94" s="22"/>
      <c r="AL94" s="130"/>
      <c r="AM94" s="132"/>
      <c r="AN94" s="103"/>
      <c r="AO94" s="132"/>
      <c r="AP94" s="126"/>
      <c r="AQ94" s="132"/>
      <c r="AR94" s="29"/>
      <c r="AS94" s="29"/>
      <c r="AT94" s="29"/>
      <c r="AU94" s="22"/>
      <c r="AV94" s="122"/>
      <c r="AW94" s="130"/>
      <c r="AX94" s="130"/>
      <c r="AY94" s="22"/>
      <c r="AZ94" s="133"/>
      <c r="BA94" s="22"/>
      <c r="BB94" s="126"/>
      <c r="BC94" s="22"/>
      <c r="BD94" s="22"/>
      <c r="BE94" s="22"/>
      <c r="BF94" s="22"/>
      <c r="BG94" s="22"/>
      <c r="BH94" s="22"/>
      <c r="BI94" s="22"/>
      <c r="BJ94" s="22"/>
      <c r="BK94" s="22"/>
    </row>
    <row r="95" spans="1:63" ht="15.75" x14ac:dyDescent="0.25">
      <c r="A95" s="120"/>
      <c r="B95" s="22"/>
      <c r="C95" s="121"/>
      <c r="D95" s="121"/>
      <c r="E95" s="122"/>
      <c r="F95" s="122"/>
      <c r="G95" s="22"/>
      <c r="H95" s="22"/>
      <c r="I95" s="122"/>
      <c r="J95" s="22"/>
      <c r="K95" s="123"/>
      <c r="L95" s="123"/>
      <c r="M95" s="118"/>
      <c r="N95" s="124"/>
      <c r="O95" s="22"/>
      <c r="P95" s="125"/>
      <c r="Q95" s="22"/>
      <c r="R95" s="119"/>
      <c r="S95" s="140"/>
      <c r="T95" s="127"/>
      <c r="U95" s="128"/>
      <c r="V95" s="22"/>
      <c r="W95" s="119"/>
      <c r="X95" s="129"/>
      <c r="Y95" s="119"/>
      <c r="Z95" s="22"/>
      <c r="AA95" s="130"/>
      <c r="AB95" s="130"/>
      <c r="AC95" s="103"/>
      <c r="AD95" s="130"/>
      <c r="AE95" s="103"/>
      <c r="AF95" s="130"/>
      <c r="AG95" s="103"/>
      <c r="AH95" s="130"/>
      <c r="AI95" s="22"/>
      <c r="AJ95" s="131"/>
      <c r="AK95" s="22"/>
      <c r="AL95" s="130"/>
      <c r="AM95" s="132"/>
      <c r="AN95" s="103"/>
      <c r="AO95" s="132"/>
      <c r="AP95" s="126"/>
      <c r="AQ95" s="132"/>
      <c r="AR95" s="29"/>
      <c r="AS95" s="29"/>
      <c r="AT95" s="29"/>
      <c r="AU95" s="22"/>
      <c r="AV95" s="122"/>
      <c r="AW95" s="130"/>
      <c r="AX95" s="130"/>
      <c r="AY95" s="22"/>
      <c r="AZ95" s="133"/>
      <c r="BA95" s="22"/>
      <c r="BB95" s="126"/>
      <c r="BC95" s="22"/>
      <c r="BD95" s="22"/>
      <c r="BE95" s="22"/>
      <c r="BF95" s="22"/>
      <c r="BG95" s="22"/>
      <c r="BH95" s="22"/>
      <c r="BI95" s="22"/>
      <c r="BJ95" s="22"/>
      <c r="BK95" s="22"/>
    </row>
    <row r="96" spans="1:63" ht="15.75" x14ac:dyDescent="0.25">
      <c r="A96" s="120"/>
      <c r="B96" s="22"/>
      <c r="C96" s="121"/>
      <c r="D96" s="121"/>
      <c r="E96" s="122"/>
      <c r="F96" s="122"/>
      <c r="G96" s="22"/>
      <c r="H96" s="22"/>
      <c r="I96" s="122"/>
      <c r="J96" s="22"/>
      <c r="K96" s="123"/>
      <c r="L96" s="123"/>
      <c r="M96" s="118"/>
      <c r="N96" s="124"/>
      <c r="O96" s="22"/>
      <c r="P96" s="125"/>
      <c r="Q96" s="22"/>
      <c r="R96" s="119"/>
      <c r="S96" s="140"/>
      <c r="T96" s="127"/>
      <c r="U96" s="128"/>
      <c r="V96" s="22"/>
      <c r="W96" s="119"/>
      <c r="X96" s="129"/>
      <c r="Y96" s="119"/>
      <c r="Z96" s="22"/>
      <c r="AA96" s="130"/>
      <c r="AB96" s="130"/>
      <c r="AC96" s="103"/>
      <c r="AD96" s="130"/>
      <c r="AE96" s="103"/>
      <c r="AF96" s="130"/>
      <c r="AG96" s="103"/>
      <c r="AH96" s="130"/>
      <c r="AI96" s="22"/>
      <c r="AJ96" s="131"/>
      <c r="AK96" s="22"/>
      <c r="AL96" s="130"/>
      <c r="AM96" s="132"/>
      <c r="AN96" s="103"/>
      <c r="AO96" s="132"/>
      <c r="AP96" s="126"/>
      <c r="AQ96" s="132"/>
      <c r="AR96" s="29"/>
      <c r="AS96" s="29"/>
      <c r="AT96" s="29"/>
      <c r="AU96" s="22"/>
      <c r="AV96" s="122"/>
      <c r="AW96" s="130"/>
      <c r="AX96" s="130"/>
      <c r="AY96" s="22"/>
      <c r="AZ96" s="133"/>
      <c r="BA96" s="22"/>
      <c r="BB96" s="126"/>
      <c r="BC96" s="22"/>
      <c r="BD96" s="22"/>
      <c r="BE96" s="22"/>
      <c r="BF96" s="22"/>
      <c r="BG96" s="22"/>
      <c r="BH96" s="22"/>
      <c r="BI96" s="22"/>
      <c r="BJ96" s="22"/>
      <c r="BK96" s="22"/>
    </row>
    <row r="97" spans="1:63" ht="15.75" x14ac:dyDescent="0.25">
      <c r="A97" s="120"/>
      <c r="B97" s="22"/>
      <c r="C97" s="121"/>
      <c r="D97" s="121"/>
      <c r="E97" s="122"/>
      <c r="F97" s="122"/>
      <c r="G97" s="22"/>
      <c r="H97" s="22"/>
      <c r="I97" s="122"/>
      <c r="J97" s="22"/>
      <c r="K97" s="123"/>
      <c r="L97" s="123"/>
      <c r="M97" s="118"/>
      <c r="N97" s="124"/>
      <c r="O97" s="22"/>
      <c r="P97" s="125"/>
      <c r="Q97" s="22"/>
      <c r="R97" s="119"/>
      <c r="S97" s="140"/>
      <c r="T97" s="127"/>
      <c r="U97" s="128"/>
      <c r="V97" s="22"/>
      <c r="W97" s="119"/>
      <c r="X97" s="129"/>
      <c r="Y97" s="119"/>
      <c r="Z97" s="22"/>
      <c r="AA97" s="130"/>
      <c r="AB97" s="130"/>
      <c r="AC97" s="103"/>
      <c r="AD97" s="130"/>
      <c r="AE97" s="103"/>
      <c r="AF97" s="130"/>
      <c r="AG97" s="103"/>
      <c r="AH97" s="130"/>
      <c r="AI97" s="22"/>
      <c r="AJ97" s="131"/>
      <c r="AK97" s="22"/>
      <c r="AL97" s="130"/>
      <c r="AM97" s="132"/>
      <c r="AN97" s="103"/>
      <c r="AO97" s="132"/>
      <c r="AP97" s="126"/>
      <c r="AQ97" s="132"/>
      <c r="AR97" s="29"/>
      <c r="AS97" s="29"/>
      <c r="AT97" s="29"/>
      <c r="AU97" s="22"/>
      <c r="AV97" s="122"/>
      <c r="AW97" s="130"/>
      <c r="AX97" s="130"/>
      <c r="AY97" s="22"/>
      <c r="AZ97" s="133"/>
      <c r="BA97" s="22"/>
      <c r="BB97" s="126"/>
      <c r="BC97" s="22"/>
      <c r="BD97" s="22"/>
      <c r="BE97" s="22"/>
      <c r="BF97" s="22"/>
      <c r="BG97" s="22"/>
      <c r="BH97" s="22"/>
      <c r="BI97" s="22"/>
      <c r="BJ97" s="22"/>
      <c r="BK97" s="22"/>
    </row>
    <row r="98" spans="1:63" ht="18.75" x14ac:dyDescent="0.25">
      <c r="A98" s="28"/>
      <c r="B98" s="134"/>
      <c r="C98" s="22"/>
      <c r="D98" s="22"/>
      <c r="E98" s="27"/>
      <c r="F98" s="27"/>
      <c r="G98" s="17"/>
      <c r="H98" s="17"/>
      <c r="I98" s="122"/>
      <c r="J98" s="17"/>
      <c r="K98" s="20"/>
      <c r="L98" s="20"/>
      <c r="M98" s="26"/>
      <c r="N98" s="98"/>
      <c r="O98" s="17"/>
      <c r="P98" s="25"/>
      <c r="Q98" s="17"/>
      <c r="R98" s="118"/>
      <c r="S98" s="24"/>
      <c r="T98" s="98"/>
      <c r="U98" s="17"/>
      <c r="V98" s="17"/>
      <c r="W98" s="17"/>
      <c r="X98" s="135"/>
      <c r="Y98" s="119"/>
      <c r="Z98" s="17"/>
      <c r="AA98" s="22"/>
      <c r="AB98" s="22"/>
      <c r="AC98" s="22"/>
      <c r="AD98" s="22"/>
      <c r="AE98" s="23"/>
      <c r="AF98" s="23"/>
      <c r="AG98" s="22"/>
      <c r="AH98" s="22"/>
      <c r="AI98" s="17"/>
      <c r="AJ98" s="21"/>
      <c r="AK98" s="17"/>
      <c r="AL98" s="17"/>
      <c r="AM98" s="17"/>
      <c r="AN98" s="17"/>
      <c r="AO98" s="17"/>
      <c r="AP98" s="25"/>
      <c r="AQ98" s="17"/>
      <c r="AR98" s="16"/>
      <c r="AS98" s="16"/>
      <c r="AT98" s="16"/>
      <c r="AU98" s="17"/>
      <c r="AV98" s="16"/>
      <c r="AW98" s="16"/>
      <c r="AX98" s="16"/>
      <c r="AY98" s="17"/>
      <c r="AZ98" s="21"/>
      <c r="BA98" s="17"/>
      <c r="BB98" s="20"/>
      <c r="BC98" s="17"/>
      <c r="BD98" s="17"/>
      <c r="BE98" s="17"/>
      <c r="BF98" s="17"/>
      <c r="BG98" s="17"/>
      <c r="BH98" s="17"/>
      <c r="BI98" s="17"/>
      <c r="BJ98" s="17"/>
      <c r="BK98" s="17"/>
    </row>
    <row r="99" spans="1:63" ht="18.75" x14ac:dyDescent="0.25">
      <c r="A99" s="28"/>
      <c r="B99" s="22"/>
      <c r="C99" s="22"/>
      <c r="D99" s="22"/>
      <c r="E99" s="27"/>
      <c r="F99" s="27"/>
      <c r="G99" s="17"/>
      <c r="H99" s="17"/>
      <c r="I99" s="17"/>
      <c r="J99" s="17"/>
      <c r="K99" s="20"/>
      <c r="L99" s="20"/>
      <c r="M99" s="26"/>
      <c r="N99" s="98"/>
      <c r="O99" s="17"/>
      <c r="P99" s="25"/>
      <c r="Q99" s="17"/>
      <c r="R99" s="118"/>
      <c r="S99" s="24"/>
      <c r="T99" s="98"/>
      <c r="U99" s="17"/>
      <c r="V99" s="17"/>
      <c r="W99" s="17"/>
      <c r="X99" s="135"/>
      <c r="Y99" s="119"/>
      <c r="Z99" s="17"/>
      <c r="AA99" s="22"/>
      <c r="AB99" s="22"/>
      <c r="AC99" s="22"/>
      <c r="AD99" s="22"/>
      <c r="AE99" s="23"/>
      <c r="AF99" s="23"/>
      <c r="AG99" s="22"/>
      <c r="AH99" s="22"/>
      <c r="AI99" s="17"/>
      <c r="AJ99" s="21"/>
      <c r="AK99" s="17"/>
      <c r="AL99" s="17"/>
      <c r="AM99" s="17"/>
      <c r="AN99" s="17"/>
      <c r="AO99" s="17"/>
      <c r="AP99" s="25"/>
      <c r="AQ99" s="17"/>
      <c r="AR99" s="16"/>
      <c r="AS99" s="16"/>
      <c r="AT99" s="16"/>
      <c r="AU99" s="17"/>
      <c r="AV99" s="16"/>
      <c r="AW99" s="16"/>
      <c r="AX99" s="16"/>
      <c r="AY99" s="17"/>
      <c r="AZ99" s="21"/>
      <c r="BA99" s="17"/>
      <c r="BB99" s="20"/>
      <c r="BC99" s="17"/>
      <c r="BD99" s="17"/>
      <c r="BE99" s="17"/>
      <c r="BF99" s="17"/>
      <c r="BG99" s="17"/>
      <c r="BH99" s="17"/>
      <c r="BI99" s="17"/>
      <c r="BJ99" s="17"/>
      <c r="BK99" s="17"/>
    </row>
    <row r="100" spans="1:63" ht="15.75" x14ac:dyDescent="0.25">
      <c r="A100" s="120"/>
      <c r="B100" s="22"/>
      <c r="D100" s="121"/>
      <c r="E100" s="122"/>
      <c r="F100" s="122"/>
      <c r="G100" s="22"/>
      <c r="H100" s="22"/>
      <c r="I100" s="122"/>
      <c r="J100" s="22"/>
      <c r="K100" s="123"/>
      <c r="L100" s="123"/>
      <c r="M100" s="118"/>
      <c r="N100" s="124"/>
      <c r="O100" s="22"/>
      <c r="P100" s="125"/>
      <c r="Q100" s="22"/>
      <c r="R100" s="119"/>
      <c r="S100" s="140"/>
      <c r="T100" s="127"/>
      <c r="U100" s="128"/>
      <c r="V100" s="22"/>
      <c r="W100" s="119"/>
      <c r="X100" s="129"/>
      <c r="Y100" s="119"/>
      <c r="Z100" s="22"/>
      <c r="AA100" s="130"/>
      <c r="AB100" s="130"/>
      <c r="AC100" s="103"/>
      <c r="AD100" s="130"/>
      <c r="AE100" s="103"/>
      <c r="AF100" s="130"/>
      <c r="AG100" s="103"/>
      <c r="AH100" s="130"/>
      <c r="AI100" s="22"/>
      <c r="AJ100" s="131"/>
      <c r="AK100" s="22"/>
      <c r="AL100" s="130"/>
      <c r="AM100" s="132"/>
      <c r="AN100" s="103"/>
      <c r="AO100" s="132"/>
      <c r="AP100" s="126"/>
      <c r="AQ100" s="132"/>
      <c r="AR100" s="29"/>
      <c r="AS100" s="29"/>
      <c r="AT100" s="29"/>
      <c r="AU100" s="22"/>
      <c r="AV100" s="122"/>
      <c r="AW100" s="122"/>
      <c r="AX100" s="130"/>
      <c r="AY100" s="22"/>
      <c r="AZ100" s="22"/>
      <c r="BA100" s="22"/>
      <c r="BB100" s="126"/>
      <c r="BC100" s="22"/>
      <c r="BD100" s="22"/>
      <c r="BE100" s="22"/>
      <c r="BF100" s="22"/>
      <c r="BG100" s="22"/>
      <c r="BH100" s="22"/>
      <c r="BI100" s="22"/>
      <c r="BJ100" s="22"/>
      <c r="BK100" s="22"/>
    </row>
    <row r="101" spans="1:63" ht="15.75" x14ac:dyDescent="0.25">
      <c r="A101" s="120"/>
      <c r="B101" s="22"/>
      <c r="D101" s="121"/>
      <c r="E101" s="122"/>
      <c r="F101" s="122"/>
      <c r="G101" s="22"/>
      <c r="H101" s="22"/>
      <c r="I101" s="122"/>
      <c r="J101" s="22"/>
      <c r="K101" s="123"/>
      <c r="L101" s="123"/>
      <c r="M101" s="118"/>
      <c r="N101" s="124"/>
      <c r="O101" s="22"/>
      <c r="P101" s="125"/>
      <c r="Q101" s="22"/>
      <c r="R101" s="119"/>
      <c r="S101" s="140"/>
      <c r="T101" s="127"/>
      <c r="U101" s="128"/>
      <c r="V101" s="22"/>
      <c r="W101" s="119"/>
      <c r="X101" s="129"/>
      <c r="Y101" s="119"/>
      <c r="Z101" s="22"/>
      <c r="AA101" s="130"/>
      <c r="AB101" s="130"/>
      <c r="AC101" s="103"/>
      <c r="AD101" s="130"/>
      <c r="AE101" s="103"/>
      <c r="AF101" s="130"/>
      <c r="AG101" s="103"/>
      <c r="AH101" s="130"/>
      <c r="AI101" s="22"/>
      <c r="AJ101" s="131"/>
      <c r="AK101" s="22"/>
      <c r="AL101" s="130"/>
      <c r="AM101" s="132"/>
      <c r="AN101" s="103"/>
      <c r="AO101" s="132"/>
      <c r="AP101" s="126"/>
      <c r="AQ101" s="132"/>
      <c r="AR101" s="29"/>
      <c r="AS101" s="29"/>
      <c r="AT101" s="29"/>
      <c r="AU101" s="22"/>
      <c r="AV101" s="122"/>
      <c r="AW101" s="122"/>
      <c r="AX101" s="130"/>
      <c r="AY101" s="22"/>
      <c r="AZ101" s="133"/>
      <c r="BA101" s="22"/>
      <c r="BB101" s="126"/>
      <c r="BC101" s="22"/>
      <c r="BD101" s="22"/>
      <c r="BE101" s="22"/>
      <c r="BF101" s="22"/>
      <c r="BG101" s="22"/>
      <c r="BH101" s="22"/>
      <c r="BI101" s="22"/>
      <c r="BJ101" s="22"/>
      <c r="BK101" s="22"/>
    </row>
    <row r="102" spans="1:63" ht="15.75" x14ac:dyDescent="0.25">
      <c r="A102" s="120"/>
      <c r="B102" s="22"/>
      <c r="C102" s="22"/>
      <c r="D102" s="121"/>
      <c r="E102" s="122"/>
      <c r="F102" s="122"/>
      <c r="G102" s="22"/>
      <c r="H102" s="22"/>
      <c r="I102" s="122"/>
      <c r="J102" s="22"/>
      <c r="K102" s="123"/>
      <c r="L102" s="123"/>
      <c r="M102" s="118"/>
      <c r="N102" s="124"/>
      <c r="O102" s="22"/>
      <c r="P102" s="125"/>
      <c r="Q102" s="22"/>
      <c r="R102" s="119"/>
      <c r="S102" s="140"/>
      <c r="T102" s="127"/>
      <c r="U102" s="128"/>
      <c r="V102" s="22"/>
      <c r="W102" s="119"/>
      <c r="X102" s="129"/>
      <c r="Y102" s="119"/>
      <c r="Z102" s="22"/>
      <c r="AA102" s="130"/>
      <c r="AB102" s="130"/>
      <c r="AC102" s="103"/>
      <c r="AD102" s="130"/>
      <c r="AE102" s="103"/>
      <c r="AF102" s="130"/>
      <c r="AG102" s="103"/>
      <c r="AH102" s="130"/>
      <c r="AI102" s="22"/>
      <c r="AJ102" s="131"/>
      <c r="AK102" s="22"/>
      <c r="AL102" s="130"/>
      <c r="AM102" s="132"/>
      <c r="AN102" s="103"/>
      <c r="AO102" s="132"/>
      <c r="AP102" s="126"/>
      <c r="AQ102" s="132"/>
      <c r="AR102" s="29"/>
      <c r="AS102" s="29"/>
      <c r="AT102" s="29"/>
      <c r="AU102" s="22"/>
      <c r="AV102" s="122"/>
      <c r="AW102" s="122"/>
      <c r="AX102" s="130"/>
      <c r="AY102" s="22"/>
      <c r="AZ102" s="133"/>
      <c r="BA102" s="22"/>
      <c r="BB102" s="126"/>
      <c r="BC102" s="22"/>
      <c r="BD102" s="22"/>
      <c r="BE102" s="22"/>
      <c r="BF102" s="22"/>
      <c r="BG102" s="22"/>
      <c r="BH102" s="22"/>
      <c r="BI102" s="22"/>
      <c r="BJ102" s="22"/>
      <c r="BK102" s="22"/>
    </row>
    <row r="103" spans="1:63" ht="15.75" x14ac:dyDescent="0.25">
      <c r="A103" s="120"/>
      <c r="B103" s="22"/>
      <c r="C103" s="22"/>
      <c r="D103" s="121"/>
      <c r="E103" s="122"/>
      <c r="F103" s="122"/>
      <c r="G103" s="22"/>
      <c r="H103" s="22"/>
      <c r="I103" s="122"/>
      <c r="J103" s="22"/>
      <c r="K103" s="123"/>
      <c r="L103" s="123"/>
      <c r="M103" s="118"/>
      <c r="N103" s="124"/>
      <c r="O103" s="22"/>
      <c r="P103" s="125"/>
      <c r="Q103" s="22"/>
      <c r="R103" s="119"/>
      <c r="S103" s="140"/>
      <c r="T103" s="127"/>
      <c r="U103" s="128"/>
      <c r="V103" s="22"/>
      <c r="W103" s="119"/>
      <c r="X103" s="129"/>
      <c r="Y103" s="119"/>
      <c r="Z103" s="22"/>
      <c r="AA103" s="130"/>
      <c r="AB103" s="130"/>
      <c r="AC103" s="103"/>
      <c r="AD103" s="130"/>
      <c r="AE103" s="103"/>
      <c r="AF103" s="130"/>
      <c r="AG103" s="103"/>
      <c r="AH103" s="130"/>
      <c r="AI103" s="22"/>
      <c r="AJ103" s="131"/>
      <c r="AK103" s="22"/>
      <c r="AL103" s="130"/>
      <c r="AM103" s="132"/>
      <c r="AN103" s="103"/>
      <c r="AO103" s="132"/>
      <c r="AP103" s="126"/>
      <c r="AQ103" s="132"/>
      <c r="AR103" s="29"/>
      <c r="AS103" s="29"/>
      <c r="AT103" s="29"/>
      <c r="AU103" s="22"/>
      <c r="AV103" s="122"/>
      <c r="AW103" s="122"/>
      <c r="AX103" s="130"/>
      <c r="AY103" s="22"/>
      <c r="AZ103" s="133"/>
      <c r="BA103" s="22"/>
      <c r="BB103" s="126"/>
      <c r="BC103" s="22"/>
      <c r="BD103" s="22"/>
      <c r="BE103" s="22"/>
      <c r="BF103" s="22"/>
      <c r="BG103" s="22"/>
      <c r="BH103" s="22"/>
      <c r="BI103" s="22"/>
      <c r="BJ103" s="22"/>
      <c r="BK103" s="22"/>
    </row>
    <row r="104" spans="1:63" ht="15.75" x14ac:dyDescent="0.25">
      <c r="A104" s="120"/>
      <c r="B104" s="22"/>
      <c r="C104" s="22"/>
      <c r="D104" s="121"/>
      <c r="E104" s="122"/>
      <c r="F104" s="122"/>
      <c r="G104" s="22"/>
      <c r="H104" s="22"/>
      <c r="I104" s="122"/>
      <c r="J104" s="22"/>
      <c r="K104" s="123"/>
      <c r="L104" s="123"/>
      <c r="M104" s="118"/>
      <c r="N104" s="124"/>
      <c r="O104" s="22"/>
      <c r="P104" s="125"/>
      <c r="Q104" s="22"/>
      <c r="R104" s="119"/>
      <c r="S104" s="140"/>
      <c r="T104" s="127"/>
      <c r="U104" s="128"/>
      <c r="V104" s="22"/>
      <c r="W104" s="119"/>
      <c r="X104" s="129"/>
      <c r="Y104" s="119"/>
      <c r="Z104" s="22"/>
      <c r="AA104" s="130"/>
      <c r="AB104" s="130"/>
      <c r="AC104" s="103"/>
      <c r="AD104" s="130"/>
      <c r="AE104" s="103"/>
      <c r="AF104" s="130"/>
      <c r="AG104" s="103"/>
      <c r="AH104" s="130"/>
      <c r="AI104" s="22"/>
      <c r="AJ104" s="131"/>
      <c r="AK104" s="22"/>
      <c r="AL104" s="130"/>
      <c r="AM104" s="132"/>
      <c r="AN104" s="103"/>
      <c r="AO104" s="132"/>
      <c r="AP104" s="126"/>
      <c r="AQ104" s="132"/>
      <c r="AR104" s="29"/>
      <c r="AS104" s="29"/>
      <c r="AT104" s="29"/>
      <c r="AU104" s="22"/>
      <c r="AV104" s="122"/>
      <c r="AW104" s="122"/>
      <c r="AX104" s="130"/>
      <c r="AY104" s="22"/>
      <c r="AZ104" s="133"/>
      <c r="BA104" s="22"/>
      <c r="BB104" s="126"/>
      <c r="BC104" s="22"/>
      <c r="BD104" s="22"/>
      <c r="BE104" s="22"/>
      <c r="BF104" s="22"/>
      <c r="BG104" s="22"/>
      <c r="BH104" s="22"/>
      <c r="BI104" s="22"/>
      <c r="BJ104" s="22"/>
      <c r="BK104" s="22"/>
    </row>
    <row r="105" spans="1:63" ht="15.75" x14ac:dyDescent="0.25">
      <c r="A105" s="120"/>
      <c r="B105" s="22"/>
      <c r="C105" s="22"/>
      <c r="D105" s="121"/>
      <c r="E105" s="122"/>
      <c r="F105" s="122"/>
      <c r="G105" s="22"/>
      <c r="H105" s="22"/>
      <c r="I105" s="122"/>
      <c r="J105" s="22"/>
      <c r="K105" s="123"/>
      <c r="L105" s="123"/>
      <c r="M105" s="118"/>
      <c r="N105" s="124"/>
      <c r="O105" s="22"/>
      <c r="P105" s="125"/>
      <c r="Q105" s="22"/>
      <c r="R105" s="119"/>
      <c r="S105" s="140"/>
      <c r="T105" s="127"/>
      <c r="U105" s="128"/>
      <c r="V105" s="22"/>
      <c r="W105" s="119"/>
      <c r="X105" s="129"/>
      <c r="Y105" s="119"/>
      <c r="Z105" s="22"/>
      <c r="AA105" s="130"/>
      <c r="AB105" s="130"/>
      <c r="AC105" s="103"/>
      <c r="AD105" s="130"/>
      <c r="AE105" s="103"/>
      <c r="AF105" s="130"/>
      <c r="AG105" s="103"/>
      <c r="AH105" s="130"/>
      <c r="AI105" s="22"/>
      <c r="AJ105" s="131"/>
      <c r="AK105" s="22"/>
      <c r="AL105" s="130"/>
      <c r="AM105" s="132"/>
      <c r="AN105" s="103"/>
      <c r="AO105" s="132"/>
      <c r="AP105" s="126"/>
      <c r="AQ105" s="132"/>
      <c r="AR105" s="29"/>
      <c r="AS105" s="29"/>
      <c r="AT105" s="29"/>
      <c r="AU105" s="22"/>
      <c r="AV105" s="122"/>
      <c r="AW105" s="122"/>
      <c r="AX105" s="130"/>
      <c r="AY105" s="22"/>
      <c r="AZ105" s="133"/>
      <c r="BA105" s="22"/>
      <c r="BB105" s="126"/>
      <c r="BC105" s="22"/>
      <c r="BD105" s="22"/>
      <c r="BE105" s="22"/>
      <c r="BF105" s="22"/>
      <c r="BG105" s="22"/>
      <c r="BH105" s="22"/>
      <c r="BI105" s="22"/>
      <c r="BJ105" s="22"/>
      <c r="BK105" s="22"/>
    </row>
    <row r="106" spans="1:63" ht="15.75" x14ac:dyDescent="0.25">
      <c r="A106" s="120"/>
      <c r="B106" s="22"/>
      <c r="C106" s="22"/>
      <c r="D106" s="121"/>
      <c r="E106" s="122"/>
      <c r="F106" s="122"/>
      <c r="G106" s="22"/>
      <c r="H106" s="22"/>
      <c r="I106" s="122"/>
      <c r="J106" s="22"/>
      <c r="K106" s="123"/>
      <c r="L106" s="123"/>
      <c r="M106" s="118"/>
      <c r="N106" s="124"/>
      <c r="O106" s="22"/>
      <c r="P106" s="125"/>
      <c r="Q106" s="22"/>
      <c r="R106" s="119"/>
      <c r="S106" s="140"/>
      <c r="T106" s="127"/>
      <c r="U106" s="128"/>
      <c r="V106" s="22"/>
      <c r="W106" s="119"/>
      <c r="X106" s="129"/>
      <c r="Y106" s="119"/>
      <c r="Z106" s="22"/>
      <c r="AA106" s="130"/>
      <c r="AB106" s="130"/>
      <c r="AC106" s="103"/>
      <c r="AD106" s="130"/>
      <c r="AE106" s="103"/>
      <c r="AF106" s="130"/>
      <c r="AG106" s="103"/>
      <c r="AH106" s="130"/>
      <c r="AI106" s="22"/>
      <c r="AJ106" s="131"/>
      <c r="AK106" s="22"/>
      <c r="AL106" s="130"/>
      <c r="AM106" s="132"/>
      <c r="AN106" s="103"/>
      <c r="AO106" s="132"/>
      <c r="AP106" s="126"/>
      <c r="AQ106" s="132"/>
      <c r="AR106" s="29"/>
      <c r="AS106" s="29"/>
      <c r="AT106" s="29"/>
      <c r="AU106" s="22"/>
      <c r="AV106" s="122"/>
      <c r="AW106" s="122"/>
      <c r="AX106" s="130"/>
      <c r="AY106" s="22"/>
      <c r="AZ106" s="133"/>
      <c r="BA106" s="22"/>
      <c r="BB106" s="126"/>
      <c r="BC106" s="22"/>
      <c r="BD106" s="22"/>
      <c r="BE106" s="22"/>
      <c r="BF106" s="22"/>
      <c r="BG106" s="22"/>
      <c r="BH106" s="22"/>
      <c r="BI106" s="22"/>
      <c r="BJ106" s="22"/>
      <c r="BK106" s="22"/>
    </row>
    <row r="107" spans="1:63" ht="15.75" x14ac:dyDescent="0.25">
      <c r="A107" s="120"/>
      <c r="B107" s="22"/>
      <c r="C107" s="22"/>
      <c r="D107" s="121"/>
      <c r="E107" s="122"/>
      <c r="F107" s="122"/>
      <c r="G107" s="22"/>
      <c r="H107" s="22"/>
      <c r="I107" s="122"/>
      <c r="J107" s="22"/>
      <c r="K107" s="123"/>
      <c r="L107" s="123"/>
      <c r="M107" s="118"/>
      <c r="N107" s="124"/>
      <c r="O107" s="22"/>
      <c r="P107" s="125"/>
      <c r="Q107" s="22"/>
      <c r="R107" s="119"/>
      <c r="S107" s="140"/>
      <c r="T107" s="127"/>
      <c r="U107" s="128"/>
      <c r="V107" s="22"/>
      <c r="W107" s="119"/>
      <c r="X107" s="129"/>
      <c r="Y107" s="119"/>
      <c r="Z107" s="22"/>
      <c r="AA107" s="130"/>
      <c r="AB107" s="130"/>
      <c r="AC107" s="103"/>
      <c r="AD107" s="130"/>
      <c r="AE107" s="103"/>
      <c r="AF107" s="130"/>
      <c r="AG107" s="103"/>
      <c r="AH107" s="130"/>
      <c r="AI107" s="22"/>
      <c r="AJ107" s="131"/>
      <c r="AK107" s="22"/>
      <c r="AL107" s="130"/>
      <c r="AM107" s="132"/>
      <c r="AN107" s="103"/>
      <c r="AO107" s="132"/>
      <c r="AP107" s="126"/>
      <c r="AQ107" s="132"/>
      <c r="AR107" s="29"/>
      <c r="AS107" s="29"/>
      <c r="AT107" s="29"/>
      <c r="AU107" s="22"/>
      <c r="AV107" s="122"/>
      <c r="AW107" s="122"/>
      <c r="AX107" s="130"/>
      <c r="AY107" s="22"/>
      <c r="AZ107" s="133"/>
      <c r="BA107" s="22"/>
      <c r="BB107" s="126"/>
      <c r="BC107" s="22"/>
      <c r="BD107" s="22"/>
      <c r="BE107" s="22"/>
      <c r="BF107" s="22"/>
      <c r="BG107" s="22"/>
      <c r="BH107" s="22"/>
      <c r="BI107" s="22"/>
      <c r="BJ107" s="22"/>
      <c r="BK107" s="22"/>
    </row>
    <row r="108" spans="1:63" ht="18.75" x14ac:dyDescent="0.25">
      <c r="A108" s="28"/>
      <c r="B108" s="134"/>
      <c r="C108" s="22"/>
      <c r="D108" s="22"/>
      <c r="E108" s="27"/>
      <c r="F108" s="122"/>
      <c r="G108" s="17"/>
      <c r="H108" s="17"/>
      <c r="I108" s="17"/>
      <c r="J108" s="17"/>
      <c r="K108" s="118"/>
      <c r="L108" s="118"/>
      <c r="M108" s="141"/>
      <c r="N108" s="98"/>
      <c r="O108" s="17"/>
      <c r="P108" s="25"/>
      <c r="Q108" s="17"/>
      <c r="R108" s="118"/>
      <c r="S108" s="141"/>
      <c r="T108" s="142"/>
      <c r="U108" s="17"/>
      <c r="V108" s="17"/>
      <c r="W108" s="17"/>
      <c r="X108" s="135"/>
      <c r="Y108" s="119"/>
      <c r="Z108" s="17"/>
      <c r="AA108" s="22"/>
      <c r="AB108" s="22"/>
      <c r="AC108" s="22"/>
      <c r="AD108" s="22"/>
      <c r="AE108" s="23"/>
      <c r="AF108" s="23"/>
      <c r="AG108" s="22"/>
      <c r="AH108" s="22"/>
      <c r="AI108" s="17"/>
      <c r="AJ108" s="21"/>
      <c r="AK108" s="17"/>
      <c r="AL108" s="17"/>
      <c r="AM108" s="17"/>
      <c r="AN108" s="17"/>
      <c r="AO108" s="17"/>
      <c r="AP108" s="25"/>
      <c r="AQ108" s="17"/>
      <c r="AR108" s="16"/>
      <c r="AS108" s="16"/>
      <c r="AT108" s="16"/>
      <c r="AU108" s="17"/>
      <c r="AV108" s="16"/>
      <c r="AW108" s="16"/>
      <c r="AX108" s="16"/>
      <c r="AY108" s="17"/>
      <c r="AZ108" s="21"/>
      <c r="BA108" s="17"/>
      <c r="BB108" s="20"/>
      <c r="BC108" s="17"/>
      <c r="BD108" s="17"/>
      <c r="BE108" s="17"/>
      <c r="BF108" s="17"/>
      <c r="BG108" s="17"/>
      <c r="BH108" s="17"/>
      <c r="BI108" s="17"/>
      <c r="BJ108" s="17"/>
      <c r="BK108" s="17"/>
    </row>
    <row r="109" spans="1:63" ht="18.75" x14ac:dyDescent="0.25">
      <c r="A109" s="28"/>
      <c r="B109" s="22"/>
      <c r="C109" s="22"/>
      <c r="D109" s="22"/>
      <c r="E109" s="27"/>
      <c r="F109" s="27"/>
      <c r="G109" s="17"/>
      <c r="H109" s="17"/>
      <c r="I109" s="17"/>
      <c r="J109" s="17"/>
      <c r="K109" s="20"/>
      <c r="L109" s="20"/>
      <c r="M109" s="26"/>
      <c r="N109" s="98"/>
      <c r="O109" s="17"/>
      <c r="P109" s="25"/>
      <c r="Q109" s="17"/>
      <c r="R109" s="118"/>
      <c r="S109" s="141"/>
      <c r="T109" s="142"/>
      <c r="U109" s="17"/>
      <c r="V109" s="17"/>
      <c r="W109" s="17"/>
      <c r="X109" s="135"/>
      <c r="Y109" s="119"/>
      <c r="Z109" s="17"/>
      <c r="AA109" s="22"/>
      <c r="AB109" s="22"/>
      <c r="AC109" s="22"/>
      <c r="AD109" s="22"/>
      <c r="AE109" s="23"/>
      <c r="AF109" s="23"/>
      <c r="AG109" s="22"/>
      <c r="AH109" s="22"/>
      <c r="AI109" s="17"/>
      <c r="AJ109" s="21"/>
      <c r="AK109" s="17"/>
      <c r="AL109" s="130"/>
      <c r="AM109" s="17"/>
      <c r="AN109" s="17"/>
      <c r="AO109" s="17"/>
      <c r="AP109" s="25"/>
      <c r="AQ109" s="17"/>
      <c r="AR109" s="16"/>
      <c r="AS109" s="16"/>
      <c r="AT109" s="16"/>
      <c r="AU109" s="17"/>
      <c r="AV109" s="16"/>
      <c r="AW109" s="16"/>
      <c r="AX109" s="16"/>
      <c r="AY109" s="17"/>
      <c r="AZ109" s="21"/>
      <c r="BA109" s="17"/>
      <c r="BB109" s="20"/>
      <c r="BC109" s="17"/>
      <c r="BD109" s="17"/>
      <c r="BE109" s="17"/>
      <c r="BF109" s="17"/>
      <c r="BG109" s="17"/>
      <c r="BH109" s="17"/>
      <c r="BI109" s="17"/>
      <c r="BJ109" s="17"/>
      <c r="BK109" s="17"/>
    </row>
    <row r="110" spans="1:63" ht="15.75" x14ac:dyDescent="0.25">
      <c r="A110" s="120"/>
      <c r="B110" s="22"/>
      <c r="C110" s="22"/>
      <c r="D110" s="121"/>
      <c r="E110" s="122"/>
      <c r="F110" s="122"/>
      <c r="G110" s="22"/>
      <c r="H110" s="22"/>
      <c r="I110" s="122"/>
      <c r="J110" s="22"/>
      <c r="K110" s="123"/>
      <c r="L110" s="123"/>
      <c r="M110" s="118"/>
      <c r="N110" s="124"/>
      <c r="O110" s="22"/>
      <c r="P110" s="125"/>
      <c r="Q110" s="22"/>
      <c r="R110" s="119"/>
      <c r="S110" s="140"/>
      <c r="T110" s="127"/>
      <c r="U110" s="128"/>
      <c r="V110" s="22"/>
      <c r="W110" s="119"/>
      <c r="X110" s="129"/>
      <c r="Y110" s="119"/>
      <c r="Z110" s="22"/>
      <c r="AA110" s="130"/>
      <c r="AB110" s="130"/>
      <c r="AC110" s="103"/>
      <c r="AD110" s="130"/>
      <c r="AE110" s="103"/>
      <c r="AF110" s="130"/>
      <c r="AG110" s="103"/>
      <c r="AH110" s="130"/>
      <c r="AI110" s="22"/>
      <c r="AJ110" s="131"/>
      <c r="AK110" s="22"/>
      <c r="AL110" s="130"/>
      <c r="AM110" s="132"/>
      <c r="AN110" s="103"/>
      <c r="AO110" s="132"/>
      <c r="AP110" s="126"/>
      <c r="AQ110" s="132"/>
      <c r="AR110" s="29"/>
      <c r="AS110" s="29"/>
      <c r="AT110" s="29"/>
      <c r="AU110" s="22"/>
      <c r="AV110" s="122"/>
      <c r="AW110" s="122"/>
      <c r="AX110" s="130"/>
      <c r="AY110" s="22"/>
      <c r="AZ110" s="133"/>
      <c r="BA110" s="22"/>
      <c r="BB110" s="126"/>
      <c r="BC110" s="22"/>
      <c r="BD110" s="22"/>
      <c r="BE110" s="22"/>
      <c r="BF110" s="22"/>
      <c r="BG110" s="22"/>
      <c r="BH110" s="22"/>
      <c r="BI110" s="22"/>
      <c r="BJ110" s="22"/>
      <c r="BK110" s="22"/>
    </row>
    <row r="111" spans="1:63" ht="15.75" x14ac:dyDescent="0.25">
      <c r="A111" s="120"/>
      <c r="B111" s="22"/>
      <c r="C111" s="22"/>
      <c r="D111" s="121"/>
      <c r="E111" s="122"/>
      <c r="F111" s="122"/>
      <c r="G111" s="22"/>
      <c r="H111" s="22"/>
      <c r="I111" s="122"/>
      <c r="J111" s="22"/>
      <c r="K111" s="123"/>
      <c r="L111" s="123"/>
      <c r="M111" s="118"/>
      <c r="N111" s="124"/>
      <c r="O111" s="22"/>
      <c r="P111" s="125"/>
      <c r="Q111" s="22"/>
      <c r="R111" s="119"/>
      <c r="S111" s="140"/>
      <c r="T111" s="127"/>
      <c r="U111" s="128"/>
      <c r="V111" s="22"/>
      <c r="W111" s="119"/>
      <c r="X111" s="138"/>
      <c r="Y111" s="119"/>
      <c r="Z111" s="22"/>
      <c r="AA111" s="130"/>
      <c r="AB111" s="130"/>
      <c r="AC111" s="103"/>
      <c r="AD111" s="130"/>
      <c r="AE111" s="103"/>
      <c r="AF111" s="130"/>
      <c r="AG111" s="103"/>
      <c r="AH111" s="130"/>
      <c r="AI111" s="22"/>
      <c r="AJ111" s="131"/>
      <c r="AK111" s="22"/>
      <c r="AL111" s="130"/>
      <c r="AM111" s="132"/>
      <c r="AN111" s="103"/>
      <c r="AO111" s="132"/>
      <c r="AP111" s="126"/>
      <c r="AQ111" s="132"/>
      <c r="AR111" s="29"/>
      <c r="AS111" s="29"/>
      <c r="AT111" s="29"/>
      <c r="AU111" s="22"/>
      <c r="AV111" s="122"/>
      <c r="AW111" s="122"/>
      <c r="AX111" s="130"/>
      <c r="AY111" s="22"/>
      <c r="AZ111" s="133"/>
      <c r="BA111" s="22"/>
      <c r="BB111" s="126"/>
      <c r="BC111" s="22"/>
      <c r="BD111" s="22"/>
      <c r="BE111" s="22"/>
      <c r="BF111" s="22"/>
      <c r="BG111" s="22"/>
      <c r="BH111" s="22"/>
      <c r="BI111" s="22"/>
      <c r="BJ111" s="22"/>
      <c r="BK111" s="22"/>
    </row>
    <row r="112" spans="1:63" ht="15.75" x14ac:dyDescent="0.25">
      <c r="A112" s="120"/>
      <c r="B112" s="22"/>
      <c r="C112" s="22"/>
      <c r="D112" s="121"/>
      <c r="E112" s="122"/>
      <c r="F112" s="122"/>
      <c r="G112" s="22"/>
      <c r="H112" s="22"/>
      <c r="I112" s="122"/>
      <c r="J112" s="22"/>
      <c r="K112" s="123"/>
      <c r="L112" s="123"/>
      <c r="M112" s="118"/>
      <c r="N112" s="124"/>
      <c r="O112" s="22"/>
      <c r="P112" s="125"/>
      <c r="Q112" s="22"/>
      <c r="R112" s="119"/>
      <c r="S112" s="140"/>
      <c r="T112" s="127"/>
      <c r="U112" s="128"/>
      <c r="V112" s="22"/>
      <c r="W112" s="119"/>
      <c r="X112" s="138"/>
      <c r="Y112" s="119"/>
      <c r="Z112" s="22"/>
      <c r="AA112" s="130"/>
      <c r="AB112" s="130"/>
      <c r="AC112" s="103"/>
      <c r="AD112" s="130"/>
      <c r="AE112" s="103"/>
      <c r="AF112" s="130"/>
      <c r="AG112" s="103"/>
      <c r="AH112" s="130"/>
      <c r="AI112" s="22"/>
      <c r="AJ112" s="131"/>
      <c r="AK112" s="22"/>
      <c r="AL112" s="130"/>
      <c r="AM112" s="132"/>
      <c r="AN112" s="103"/>
      <c r="AO112" s="132"/>
      <c r="AP112" s="126"/>
      <c r="AQ112" s="132"/>
      <c r="AR112" s="29"/>
      <c r="AS112" s="29"/>
      <c r="AT112" s="29"/>
      <c r="AU112" s="22"/>
      <c r="AV112" s="122"/>
      <c r="AW112" s="122"/>
      <c r="AX112" s="130"/>
      <c r="AY112" s="22"/>
      <c r="AZ112" s="133"/>
      <c r="BA112" s="22"/>
      <c r="BB112" s="126"/>
      <c r="BC112" s="22"/>
      <c r="BD112" s="22"/>
      <c r="BE112" s="22"/>
      <c r="BF112" s="22"/>
      <c r="BG112" s="22"/>
      <c r="BH112" s="22"/>
      <c r="BI112" s="22"/>
      <c r="BJ112" s="22"/>
      <c r="BK112" s="22"/>
    </row>
    <row r="113" spans="1:63" ht="15.75" x14ac:dyDescent="0.25">
      <c r="A113" s="120"/>
      <c r="B113" s="22"/>
      <c r="C113" s="22"/>
      <c r="D113" s="121"/>
      <c r="E113" s="122"/>
      <c r="F113" s="122"/>
      <c r="G113" s="22"/>
      <c r="H113" s="22"/>
      <c r="I113" s="122"/>
      <c r="J113" s="22"/>
      <c r="K113" s="123"/>
      <c r="L113" s="123"/>
      <c r="M113" s="118"/>
      <c r="N113" s="124"/>
      <c r="O113" s="22"/>
      <c r="P113" s="125"/>
      <c r="Q113" s="22"/>
      <c r="R113" s="119"/>
      <c r="S113" s="140"/>
      <c r="T113" s="127"/>
      <c r="U113" s="128"/>
      <c r="V113" s="22"/>
      <c r="W113" s="119"/>
      <c r="X113" s="129"/>
      <c r="Y113" s="119"/>
      <c r="Z113" s="22"/>
      <c r="AA113" s="130"/>
      <c r="AB113" s="130"/>
      <c r="AC113" s="103"/>
      <c r="AD113" s="130"/>
      <c r="AE113" s="103"/>
      <c r="AF113" s="130"/>
      <c r="AG113" s="103"/>
      <c r="AH113" s="130"/>
      <c r="AI113" s="22"/>
      <c r="AJ113" s="131"/>
      <c r="AK113" s="22"/>
      <c r="AL113" s="130"/>
      <c r="AM113" s="132"/>
      <c r="AN113" s="103"/>
      <c r="AO113" s="132"/>
      <c r="AP113" s="126"/>
      <c r="AQ113" s="132"/>
      <c r="AR113" s="29"/>
      <c r="AS113" s="29"/>
      <c r="AT113" s="29"/>
      <c r="AU113" s="22"/>
      <c r="AV113" s="122"/>
      <c r="AW113" s="122"/>
      <c r="AX113" s="130"/>
      <c r="AY113" s="22"/>
      <c r="AZ113" s="133"/>
      <c r="BA113" s="22"/>
      <c r="BB113" s="126"/>
      <c r="BC113" s="22"/>
      <c r="BD113" s="22"/>
      <c r="BE113" s="22"/>
      <c r="BF113" s="22"/>
      <c r="BG113" s="22"/>
      <c r="BH113" s="22"/>
      <c r="BI113" s="22"/>
      <c r="BJ113" s="22"/>
      <c r="BK113" s="22"/>
    </row>
    <row r="114" spans="1:63" ht="15.75" x14ac:dyDescent="0.25">
      <c r="A114" s="120"/>
      <c r="B114" s="22"/>
      <c r="C114" s="22"/>
      <c r="D114" s="121"/>
      <c r="E114" s="122"/>
      <c r="F114" s="122"/>
      <c r="G114" s="22"/>
      <c r="H114" s="22"/>
      <c r="I114" s="122"/>
      <c r="J114" s="22"/>
      <c r="K114" s="123"/>
      <c r="L114" s="123"/>
      <c r="M114" s="118"/>
      <c r="N114" s="124"/>
      <c r="O114" s="22"/>
      <c r="P114" s="125"/>
      <c r="Q114" s="22"/>
      <c r="R114" s="119"/>
      <c r="S114" s="140"/>
      <c r="T114" s="127"/>
      <c r="U114" s="128"/>
      <c r="V114" s="22"/>
      <c r="W114" s="119"/>
      <c r="X114" s="129"/>
      <c r="Y114" s="119"/>
      <c r="Z114" s="22"/>
      <c r="AA114" s="130"/>
      <c r="AB114" s="130"/>
      <c r="AC114" s="103"/>
      <c r="AD114" s="130"/>
      <c r="AE114" s="103"/>
      <c r="AF114" s="130"/>
      <c r="AG114" s="103"/>
      <c r="AH114" s="130"/>
      <c r="AI114" s="22"/>
      <c r="AJ114" s="131"/>
      <c r="AK114" s="22"/>
      <c r="AL114" s="130"/>
      <c r="AM114" s="132"/>
      <c r="AN114" s="103"/>
      <c r="AO114" s="132"/>
      <c r="AP114" s="126"/>
      <c r="AQ114" s="132"/>
      <c r="AR114" s="29"/>
      <c r="AS114" s="29"/>
      <c r="AT114" s="29"/>
      <c r="AU114" s="22"/>
      <c r="AV114" s="122"/>
      <c r="AW114" s="122"/>
      <c r="AX114" s="130"/>
      <c r="AY114" s="22"/>
      <c r="AZ114" s="133"/>
      <c r="BA114" s="22"/>
      <c r="BB114" s="126"/>
      <c r="BC114" s="22"/>
      <c r="BD114" s="22"/>
      <c r="BE114" s="22"/>
      <c r="BF114" s="22"/>
      <c r="BG114" s="22"/>
      <c r="BH114" s="22"/>
      <c r="BI114" s="22"/>
      <c r="BJ114" s="22"/>
      <c r="BK114" s="22"/>
    </row>
    <row r="115" spans="1:63" ht="15.75" x14ac:dyDescent="0.25">
      <c r="A115" s="120"/>
      <c r="B115" s="22"/>
      <c r="C115" s="22"/>
      <c r="D115" s="121"/>
      <c r="E115" s="122"/>
      <c r="F115" s="122"/>
      <c r="G115" s="22"/>
      <c r="H115" s="22"/>
      <c r="I115" s="122"/>
      <c r="J115" s="22"/>
      <c r="K115" s="123"/>
      <c r="L115" s="123"/>
      <c r="M115" s="118"/>
      <c r="N115" s="124"/>
      <c r="O115" s="22"/>
      <c r="P115" s="125"/>
      <c r="Q115" s="22"/>
      <c r="R115" s="119"/>
      <c r="S115" s="140"/>
      <c r="T115" s="127"/>
      <c r="U115" s="128"/>
      <c r="V115" s="22"/>
      <c r="W115" s="119"/>
      <c r="X115" s="129"/>
      <c r="Y115" s="119"/>
      <c r="Z115" s="22"/>
      <c r="AA115" s="130"/>
      <c r="AB115" s="130"/>
      <c r="AC115" s="103"/>
      <c r="AD115" s="130"/>
      <c r="AE115" s="103"/>
      <c r="AF115" s="130"/>
      <c r="AG115" s="103"/>
      <c r="AH115" s="130"/>
      <c r="AI115" s="22"/>
      <c r="AJ115" s="131"/>
      <c r="AK115" s="22"/>
      <c r="AL115" s="130"/>
      <c r="AM115" s="132"/>
      <c r="AN115" s="103"/>
      <c r="AO115" s="132"/>
      <c r="AP115" s="126"/>
      <c r="AQ115" s="132"/>
      <c r="AR115" s="29"/>
      <c r="AS115" s="29"/>
      <c r="AT115" s="29"/>
      <c r="AU115" s="22"/>
      <c r="AV115" s="122"/>
      <c r="AW115" s="122"/>
      <c r="AX115" s="130"/>
      <c r="AY115" s="22"/>
      <c r="AZ115" s="22"/>
      <c r="BA115" s="22"/>
      <c r="BB115" s="126"/>
      <c r="BC115" s="22"/>
      <c r="BD115" s="22"/>
      <c r="BE115" s="22"/>
      <c r="BF115" s="22"/>
      <c r="BG115" s="22"/>
      <c r="BH115" s="22"/>
      <c r="BI115" s="22"/>
      <c r="BJ115" s="22"/>
      <c r="BK115" s="22"/>
    </row>
    <row r="116" spans="1:63" ht="15.75" x14ac:dyDescent="0.25">
      <c r="A116" s="120"/>
      <c r="B116" s="22"/>
      <c r="C116" s="22"/>
      <c r="D116" s="121"/>
      <c r="E116" s="122"/>
      <c r="F116" s="122"/>
      <c r="G116" s="22"/>
      <c r="H116" s="22"/>
      <c r="I116" s="122"/>
      <c r="J116" s="22"/>
      <c r="K116" s="123"/>
      <c r="L116" s="123"/>
      <c r="M116" s="118"/>
      <c r="N116" s="124"/>
      <c r="O116" s="22"/>
      <c r="P116" s="125"/>
      <c r="Q116" s="22"/>
      <c r="R116" s="119"/>
      <c r="S116" s="140"/>
      <c r="T116" s="127"/>
      <c r="U116" s="128"/>
      <c r="V116" s="22"/>
      <c r="W116" s="119"/>
      <c r="X116" s="129"/>
      <c r="Y116" s="119"/>
      <c r="Z116" s="22"/>
      <c r="AA116" s="130"/>
      <c r="AB116" s="130"/>
      <c r="AC116" s="103"/>
      <c r="AD116" s="130"/>
      <c r="AE116" s="103"/>
      <c r="AF116" s="130"/>
      <c r="AG116" s="103"/>
      <c r="AH116" s="130"/>
      <c r="AI116" s="22"/>
      <c r="AJ116" s="131"/>
      <c r="AK116" s="22"/>
      <c r="AL116" s="130"/>
      <c r="AM116" s="132"/>
      <c r="AN116" s="103"/>
      <c r="AO116" s="132"/>
      <c r="AP116" s="126"/>
      <c r="AQ116" s="132"/>
      <c r="AR116" s="29"/>
      <c r="AS116" s="29"/>
      <c r="AT116" s="29"/>
      <c r="AU116" s="22"/>
      <c r="AV116" s="122"/>
      <c r="AW116" s="122"/>
      <c r="AX116" s="130"/>
      <c r="AY116" s="22"/>
      <c r="AZ116" s="133"/>
      <c r="BA116" s="22"/>
      <c r="BB116" s="126"/>
      <c r="BC116" s="22"/>
      <c r="BD116" s="22"/>
      <c r="BE116" s="22"/>
      <c r="BF116" s="22"/>
      <c r="BG116" s="22"/>
      <c r="BH116" s="22"/>
      <c r="BI116" s="22"/>
      <c r="BJ116" s="22"/>
      <c r="BK116" s="22"/>
    </row>
    <row r="117" spans="1:63" ht="18.75" x14ac:dyDescent="0.25">
      <c r="A117" s="28"/>
      <c r="B117" s="134"/>
      <c r="C117" s="22"/>
      <c r="D117" s="121"/>
      <c r="E117" s="27"/>
      <c r="F117" s="27"/>
      <c r="G117" s="17"/>
      <c r="H117" s="17"/>
      <c r="I117" s="17"/>
      <c r="J117" s="17"/>
      <c r="K117" s="20"/>
      <c r="L117" s="20"/>
      <c r="M117" s="26"/>
      <c r="N117" s="98"/>
      <c r="O117" s="17"/>
      <c r="P117" s="25"/>
      <c r="Q117" s="17"/>
      <c r="R117" s="118"/>
      <c r="S117" s="24"/>
      <c r="T117" s="98"/>
      <c r="U117" s="17"/>
      <c r="V117" s="17"/>
      <c r="W117" s="17"/>
      <c r="X117" s="135"/>
      <c r="Y117" s="119"/>
      <c r="Z117" s="17"/>
      <c r="AA117" s="22"/>
      <c r="AB117" s="22"/>
      <c r="AC117" s="22"/>
      <c r="AD117" s="22"/>
      <c r="AE117" s="23"/>
      <c r="AF117" s="23"/>
      <c r="AG117" s="22"/>
      <c r="AH117" s="22"/>
      <c r="AI117" s="17"/>
      <c r="AJ117" s="21"/>
      <c r="AK117" s="17"/>
      <c r="AL117" s="17"/>
      <c r="AM117" s="17"/>
      <c r="AN117" s="17"/>
      <c r="AO117" s="17"/>
      <c r="AP117" s="25"/>
      <c r="AQ117" s="17"/>
      <c r="AR117" s="16"/>
      <c r="AS117" s="16"/>
      <c r="AT117" s="16"/>
      <c r="AU117" s="17"/>
      <c r="AV117" s="16"/>
      <c r="AW117" s="16"/>
      <c r="AX117" s="16"/>
      <c r="AY117" s="17"/>
      <c r="AZ117" s="21"/>
      <c r="BA117" s="17"/>
      <c r="BB117" s="20"/>
      <c r="BC117" s="17"/>
      <c r="BD117" s="17"/>
      <c r="BE117" s="17"/>
      <c r="BF117" s="17"/>
      <c r="BG117" s="17"/>
      <c r="BH117" s="17"/>
      <c r="BI117" s="17"/>
      <c r="BJ117" s="17"/>
      <c r="BK117" s="17"/>
    </row>
    <row r="118" spans="1:63" ht="18.75" x14ac:dyDescent="0.25">
      <c r="A118" s="28"/>
      <c r="B118" s="17"/>
      <c r="C118" s="17"/>
      <c r="D118" s="22"/>
      <c r="E118" s="27"/>
      <c r="F118" s="27"/>
      <c r="G118" s="17"/>
      <c r="H118" s="17"/>
      <c r="I118" s="17"/>
      <c r="J118" s="17"/>
      <c r="K118" s="20"/>
      <c r="L118" s="20"/>
      <c r="M118" s="26"/>
      <c r="N118" s="98"/>
      <c r="O118" s="17"/>
      <c r="P118" s="25"/>
      <c r="Q118" s="17"/>
      <c r="R118" s="118"/>
      <c r="S118" s="24"/>
      <c r="T118" s="98"/>
      <c r="U118" s="17"/>
      <c r="V118" s="17"/>
      <c r="W118" s="17"/>
      <c r="X118" s="135"/>
      <c r="Y118" s="119"/>
      <c r="Z118" s="17"/>
      <c r="AA118" s="22"/>
      <c r="AB118" s="22"/>
      <c r="AC118" s="22"/>
      <c r="AD118" s="22"/>
      <c r="AE118" s="23"/>
      <c r="AF118" s="23"/>
      <c r="AG118" s="22"/>
      <c r="AH118" s="22"/>
      <c r="AI118" s="17"/>
      <c r="AJ118" s="21"/>
      <c r="AK118" s="17"/>
      <c r="AL118" s="17"/>
      <c r="AM118" s="17"/>
      <c r="AN118" s="17"/>
      <c r="AO118" s="17"/>
      <c r="AP118" s="25"/>
      <c r="AQ118" s="17"/>
      <c r="AR118" s="16"/>
      <c r="AS118" s="16"/>
      <c r="AT118" s="16"/>
      <c r="AU118" s="17"/>
      <c r="AV118" s="16"/>
      <c r="AW118" s="16"/>
      <c r="AX118" s="16"/>
      <c r="AY118" s="17"/>
      <c r="AZ118" s="21"/>
      <c r="BA118" s="17"/>
      <c r="BB118" s="20"/>
      <c r="BC118" s="17"/>
      <c r="BD118" s="17"/>
      <c r="BE118" s="17"/>
      <c r="BF118" s="17"/>
      <c r="BG118" s="17"/>
      <c r="BH118" s="17"/>
      <c r="BI118" s="17"/>
      <c r="BJ118" s="17"/>
      <c r="BK118" s="17"/>
    </row>
    <row r="119" spans="1:63" ht="18.75" x14ac:dyDescent="0.25">
      <c r="A119" s="28"/>
      <c r="B119" s="22"/>
      <c r="C119" s="22"/>
      <c r="D119" s="22"/>
      <c r="E119" s="27"/>
      <c r="F119" s="27"/>
      <c r="G119" s="17"/>
      <c r="H119" s="17"/>
      <c r="I119" s="17"/>
      <c r="J119" s="17"/>
      <c r="K119" s="20"/>
      <c r="L119" s="20"/>
      <c r="M119" s="26"/>
      <c r="N119" s="98"/>
      <c r="O119" s="17"/>
      <c r="P119" s="25"/>
      <c r="Q119" s="17"/>
      <c r="R119" s="118"/>
      <c r="S119" s="24"/>
      <c r="T119" s="98"/>
      <c r="U119" s="17"/>
      <c r="V119" s="17"/>
      <c r="W119" s="17"/>
      <c r="X119" s="135"/>
      <c r="Y119" s="119"/>
      <c r="Z119" s="17"/>
      <c r="AA119" s="22"/>
      <c r="AB119" s="22"/>
      <c r="AC119" s="22"/>
      <c r="AD119" s="22"/>
      <c r="AE119" s="23"/>
      <c r="AF119" s="23"/>
      <c r="AG119" s="22"/>
      <c r="AH119" s="22"/>
      <c r="AI119" s="17"/>
      <c r="AJ119" s="21"/>
      <c r="AK119" s="17"/>
      <c r="AL119" s="17"/>
      <c r="AM119" s="17"/>
      <c r="AN119" s="17"/>
      <c r="AO119" s="17"/>
      <c r="AP119" s="25"/>
      <c r="AQ119" s="17"/>
      <c r="AR119" s="16"/>
      <c r="AS119" s="16"/>
      <c r="AT119" s="16"/>
      <c r="AU119" s="17"/>
      <c r="AV119" s="16"/>
      <c r="AW119" s="16"/>
      <c r="AX119" s="16"/>
      <c r="AY119" s="17"/>
      <c r="AZ119" s="21"/>
      <c r="BA119" s="17"/>
      <c r="BB119" s="20"/>
      <c r="BC119" s="17"/>
      <c r="BD119" s="17"/>
      <c r="BE119" s="17"/>
      <c r="BF119" s="17"/>
      <c r="BG119" s="17"/>
      <c r="BH119" s="17"/>
      <c r="BI119" s="17"/>
      <c r="BJ119" s="17"/>
      <c r="BK119" s="17"/>
    </row>
    <row r="120" spans="1:63" ht="15.75" x14ac:dyDescent="0.25">
      <c r="A120" s="120"/>
      <c r="B120" s="22"/>
      <c r="C120" s="22"/>
      <c r="D120" s="121"/>
      <c r="E120" s="122"/>
      <c r="F120" s="122"/>
      <c r="G120" s="22"/>
      <c r="H120" s="22"/>
      <c r="I120" s="122"/>
      <c r="J120" s="22"/>
      <c r="K120" s="123"/>
      <c r="L120" s="123"/>
      <c r="M120" s="118"/>
      <c r="N120" s="124"/>
      <c r="O120" s="22"/>
      <c r="P120" s="125"/>
      <c r="Q120" s="22"/>
      <c r="R120" s="119"/>
      <c r="S120" s="140"/>
      <c r="T120" s="127"/>
      <c r="U120" s="128"/>
      <c r="V120" s="22"/>
      <c r="W120" s="119"/>
      <c r="X120" s="129"/>
      <c r="Y120" s="119"/>
      <c r="Z120" s="22"/>
      <c r="AA120" s="130"/>
      <c r="AB120" s="130"/>
      <c r="AC120" s="103"/>
      <c r="AD120" s="130"/>
      <c r="AE120" s="103"/>
      <c r="AF120" s="130"/>
      <c r="AG120" s="103"/>
      <c r="AH120" s="130"/>
      <c r="AI120" s="22"/>
      <c r="AJ120" s="131"/>
      <c r="AK120" s="22"/>
      <c r="AL120" s="130"/>
      <c r="AM120" s="132"/>
      <c r="AN120" s="103"/>
      <c r="AO120" s="132"/>
      <c r="AP120" s="126"/>
      <c r="AQ120" s="132"/>
      <c r="AR120" s="29"/>
      <c r="AS120" s="29"/>
      <c r="AT120" s="29"/>
      <c r="AU120" s="22"/>
      <c r="AV120" s="122"/>
      <c r="AW120" s="122"/>
      <c r="AX120" s="130"/>
      <c r="AY120" s="22"/>
      <c r="AZ120" s="133"/>
      <c r="BA120" s="22"/>
      <c r="BB120" s="126"/>
      <c r="BC120" s="22"/>
      <c r="BD120" s="22"/>
      <c r="BE120" s="22"/>
      <c r="BF120" s="22"/>
      <c r="BG120" s="22"/>
      <c r="BH120" s="22"/>
      <c r="BI120" s="22"/>
      <c r="BJ120" s="22"/>
      <c r="BK120" s="22"/>
    </row>
    <row r="121" spans="1:63" ht="15.75" x14ac:dyDescent="0.25">
      <c r="A121" s="120"/>
      <c r="B121" s="22"/>
      <c r="C121" s="22"/>
      <c r="D121" s="121"/>
      <c r="E121" s="122"/>
      <c r="F121" s="122"/>
      <c r="G121" s="22"/>
      <c r="H121" s="22"/>
      <c r="I121" s="122"/>
      <c r="J121" s="22"/>
      <c r="K121" s="123"/>
      <c r="L121" s="123"/>
      <c r="M121" s="118"/>
      <c r="N121" s="124"/>
      <c r="O121" s="22"/>
      <c r="P121" s="125"/>
      <c r="Q121" s="22"/>
      <c r="R121" s="119"/>
      <c r="S121" s="140"/>
      <c r="T121" s="127"/>
      <c r="U121" s="128"/>
      <c r="V121" s="22"/>
      <c r="W121" s="119"/>
      <c r="X121" s="138"/>
      <c r="Y121" s="119"/>
      <c r="Z121" s="22"/>
      <c r="AA121" s="130"/>
      <c r="AB121" s="130"/>
      <c r="AC121" s="103"/>
      <c r="AD121" s="130"/>
      <c r="AE121" s="103"/>
      <c r="AF121" s="130"/>
      <c r="AG121" s="103"/>
      <c r="AH121" s="130"/>
      <c r="AI121" s="22"/>
      <c r="AJ121" s="131"/>
      <c r="AK121" s="22"/>
      <c r="AL121" s="130"/>
      <c r="AM121" s="132"/>
      <c r="AN121" s="103"/>
      <c r="AO121" s="132"/>
      <c r="AP121" s="126"/>
      <c r="AQ121" s="132"/>
      <c r="AR121" s="29"/>
      <c r="AS121" s="29"/>
      <c r="AT121" s="29"/>
      <c r="AU121" s="22"/>
      <c r="AV121" s="122"/>
      <c r="AW121" s="122"/>
      <c r="AX121" s="130"/>
      <c r="AY121" s="22"/>
      <c r="AZ121" s="133"/>
      <c r="BA121" s="22"/>
      <c r="BB121" s="126"/>
      <c r="BC121" s="22"/>
      <c r="BD121" s="22"/>
      <c r="BE121" s="22"/>
      <c r="BF121" s="22"/>
      <c r="BG121" s="22"/>
      <c r="BH121" s="22"/>
      <c r="BI121" s="22"/>
      <c r="BJ121" s="22"/>
      <c r="BK121" s="22"/>
    </row>
    <row r="122" spans="1:63" ht="15.75" x14ac:dyDescent="0.25">
      <c r="A122" s="120"/>
      <c r="B122" s="22"/>
      <c r="C122" s="22"/>
      <c r="D122" s="121"/>
      <c r="E122" s="122"/>
      <c r="F122" s="122"/>
      <c r="G122" s="22"/>
      <c r="H122" s="22"/>
      <c r="I122" s="122"/>
      <c r="J122" s="22"/>
      <c r="K122" s="123"/>
      <c r="L122" s="123"/>
      <c r="M122" s="118"/>
      <c r="N122" s="124"/>
      <c r="O122" s="22"/>
      <c r="P122" s="125"/>
      <c r="Q122" s="22"/>
      <c r="R122" s="119"/>
      <c r="S122" s="140"/>
      <c r="T122" s="127"/>
      <c r="U122" s="128"/>
      <c r="V122" s="22"/>
      <c r="W122" s="119"/>
      <c r="X122" s="129"/>
      <c r="Y122" s="119"/>
      <c r="Z122" s="22"/>
      <c r="AA122" s="130"/>
      <c r="AB122" s="130"/>
      <c r="AC122" s="103"/>
      <c r="AD122" s="130"/>
      <c r="AE122" s="103"/>
      <c r="AF122" s="130"/>
      <c r="AG122" s="103"/>
      <c r="AH122" s="130"/>
      <c r="AI122" s="22"/>
      <c r="AJ122" s="131"/>
      <c r="AK122" s="22"/>
      <c r="AL122" s="130"/>
      <c r="AM122" s="132"/>
      <c r="AN122" s="103"/>
      <c r="AO122" s="132"/>
      <c r="AP122" s="126"/>
      <c r="AQ122" s="132"/>
      <c r="AR122" s="29"/>
      <c r="AS122" s="29"/>
      <c r="AT122" s="29"/>
      <c r="AU122" s="22"/>
      <c r="AV122" s="122"/>
      <c r="AW122" s="122"/>
      <c r="AX122" s="130"/>
      <c r="AY122" s="22"/>
      <c r="AZ122" s="133"/>
      <c r="BA122" s="22"/>
      <c r="BB122" s="126"/>
      <c r="BC122" s="22"/>
      <c r="BD122" s="22"/>
      <c r="BE122" s="22"/>
      <c r="BF122" s="22"/>
      <c r="BG122" s="22"/>
      <c r="BH122" s="22"/>
      <c r="BI122" s="22"/>
      <c r="BJ122" s="22"/>
      <c r="BK122" s="22"/>
    </row>
    <row r="123" spans="1:63" ht="15.75" x14ac:dyDescent="0.25">
      <c r="A123" s="120"/>
      <c r="B123" s="22"/>
      <c r="C123" s="22"/>
      <c r="D123" s="121"/>
      <c r="E123" s="122"/>
      <c r="F123" s="122"/>
      <c r="G123" s="22"/>
      <c r="H123" s="22"/>
      <c r="I123" s="122"/>
      <c r="J123" s="22"/>
      <c r="K123" s="123"/>
      <c r="L123" s="123"/>
      <c r="M123" s="118"/>
      <c r="N123" s="124"/>
      <c r="O123" s="22"/>
      <c r="P123" s="125"/>
      <c r="Q123" s="22"/>
      <c r="R123" s="119"/>
      <c r="S123" s="140"/>
      <c r="T123" s="127"/>
      <c r="U123" s="128"/>
      <c r="V123" s="22"/>
      <c r="W123" s="119"/>
      <c r="X123" s="129"/>
      <c r="Y123" s="119"/>
      <c r="Z123" s="22"/>
      <c r="AA123" s="130"/>
      <c r="AB123" s="130"/>
      <c r="AC123" s="103"/>
      <c r="AD123" s="130"/>
      <c r="AE123" s="103"/>
      <c r="AF123" s="130"/>
      <c r="AG123" s="103"/>
      <c r="AH123" s="130"/>
      <c r="AI123" s="22"/>
      <c r="AJ123" s="131"/>
      <c r="AK123" s="22"/>
      <c r="AL123" s="130"/>
      <c r="AM123" s="132"/>
      <c r="AN123" s="103"/>
      <c r="AO123" s="132"/>
      <c r="AP123" s="126"/>
      <c r="AQ123" s="132"/>
      <c r="AR123" s="29"/>
      <c r="AS123" s="29"/>
      <c r="AT123" s="29"/>
      <c r="AU123" s="22"/>
      <c r="AV123" s="122"/>
      <c r="AW123" s="122"/>
      <c r="AX123" s="130"/>
      <c r="AY123" s="22"/>
      <c r="AZ123" s="133"/>
      <c r="BA123" s="22"/>
      <c r="BB123" s="126"/>
      <c r="BC123" s="22"/>
      <c r="BD123" s="22"/>
      <c r="BE123" s="22"/>
      <c r="BF123" s="22"/>
      <c r="BG123" s="22"/>
      <c r="BH123" s="22"/>
      <c r="BI123" s="22"/>
      <c r="BJ123" s="22"/>
      <c r="BK123" s="22"/>
    </row>
    <row r="124" spans="1:63" ht="15.75" x14ac:dyDescent="0.25">
      <c r="A124" s="120"/>
      <c r="B124" s="22"/>
      <c r="C124" s="22"/>
      <c r="D124" s="121"/>
      <c r="E124" s="122"/>
      <c r="F124" s="122"/>
      <c r="G124" s="22"/>
      <c r="H124" s="22"/>
      <c r="I124" s="122"/>
      <c r="J124" s="22"/>
      <c r="K124" s="123"/>
      <c r="L124" s="123"/>
      <c r="M124" s="118"/>
      <c r="N124" s="124"/>
      <c r="O124" s="22"/>
      <c r="P124" s="125"/>
      <c r="Q124" s="22"/>
      <c r="R124" s="119"/>
      <c r="S124" s="140"/>
      <c r="T124" s="127"/>
      <c r="U124" s="128"/>
      <c r="V124" s="22"/>
      <c r="W124" s="119"/>
      <c r="X124" s="129"/>
      <c r="Y124" s="119"/>
      <c r="Z124" s="22"/>
      <c r="AA124" s="130"/>
      <c r="AB124" s="130"/>
      <c r="AC124" s="103"/>
      <c r="AD124" s="130"/>
      <c r="AE124" s="103"/>
      <c r="AF124" s="130"/>
      <c r="AG124" s="103"/>
      <c r="AH124" s="130"/>
      <c r="AI124" s="22"/>
      <c r="AJ124" s="131"/>
      <c r="AK124" s="22"/>
      <c r="AL124" s="130"/>
      <c r="AM124" s="132"/>
      <c r="AN124" s="103"/>
      <c r="AO124" s="132"/>
      <c r="AP124" s="126"/>
      <c r="AQ124" s="132"/>
      <c r="AR124" s="29"/>
      <c r="AS124" s="29"/>
      <c r="AT124" s="29"/>
      <c r="AU124" s="22"/>
      <c r="AV124" s="122"/>
      <c r="AW124" s="122"/>
      <c r="AX124" s="130"/>
      <c r="AY124" s="22"/>
      <c r="AZ124" s="133"/>
      <c r="BA124" s="22"/>
      <c r="BB124" s="126"/>
      <c r="BC124" s="22"/>
      <c r="BD124" s="22"/>
      <c r="BE124" s="22"/>
      <c r="BF124" s="22"/>
      <c r="BG124" s="22"/>
      <c r="BH124" s="22"/>
      <c r="BI124" s="22"/>
      <c r="BJ124" s="22"/>
      <c r="BK124" s="22"/>
    </row>
    <row r="125" spans="1:63" ht="15.75" x14ac:dyDescent="0.25">
      <c r="A125" s="120"/>
      <c r="B125" s="22"/>
      <c r="C125" s="22"/>
      <c r="D125" s="121"/>
      <c r="E125" s="122"/>
      <c r="F125" s="122"/>
      <c r="G125" s="22"/>
      <c r="H125" s="22"/>
      <c r="I125" s="122"/>
      <c r="J125" s="22"/>
      <c r="K125" s="123"/>
      <c r="L125" s="123"/>
      <c r="M125" s="118"/>
      <c r="N125" s="124"/>
      <c r="O125" s="22"/>
      <c r="P125" s="125"/>
      <c r="Q125" s="22"/>
      <c r="R125" s="119"/>
      <c r="S125" s="140"/>
      <c r="T125" s="127"/>
      <c r="U125" s="128"/>
      <c r="V125" s="22"/>
      <c r="W125" s="119"/>
      <c r="X125" s="129"/>
      <c r="Y125" s="119"/>
      <c r="Z125" s="22"/>
      <c r="AA125" s="130"/>
      <c r="AB125" s="130"/>
      <c r="AC125" s="103"/>
      <c r="AD125" s="130"/>
      <c r="AE125" s="103"/>
      <c r="AF125" s="130"/>
      <c r="AG125" s="103"/>
      <c r="AH125" s="130"/>
      <c r="AI125" s="22"/>
      <c r="AJ125" s="131"/>
      <c r="AK125" s="22"/>
      <c r="AL125" s="130"/>
      <c r="AM125" s="132"/>
      <c r="AN125" s="103"/>
      <c r="AO125" s="132"/>
      <c r="AP125" s="126"/>
      <c r="AQ125" s="132"/>
      <c r="AR125" s="29"/>
      <c r="AS125" s="29"/>
      <c r="AT125" s="29"/>
      <c r="AU125" s="22"/>
      <c r="AV125" s="122"/>
      <c r="AW125" s="122"/>
      <c r="AX125" s="130"/>
      <c r="AY125" s="22"/>
      <c r="AZ125" s="133"/>
      <c r="BA125" s="22"/>
      <c r="BB125" s="126"/>
      <c r="BC125" s="22"/>
      <c r="BD125" s="22"/>
      <c r="BE125" s="22"/>
      <c r="BF125" s="22"/>
      <c r="BG125" s="22"/>
      <c r="BH125" s="22"/>
      <c r="BI125" s="22"/>
      <c r="BJ125" s="22"/>
      <c r="BK125" s="22"/>
    </row>
    <row r="126" spans="1:63" ht="15.75" x14ac:dyDescent="0.25">
      <c r="A126" s="120"/>
      <c r="B126" s="22"/>
      <c r="C126" s="22"/>
      <c r="D126" s="121"/>
      <c r="E126" s="122"/>
      <c r="F126" s="122"/>
      <c r="G126" s="22"/>
      <c r="H126" s="22"/>
      <c r="I126" s="122"/>
      <c r="J126" s="22"/>
      <c r="K126" s="123"/>
      <c r="L126" s="123"/>
      <c r="M126" s="118"/>
      <c r="N126" s="124"/>
      <c r="O126" s="22"/>
      <c r="P126" s="125"/>
      <c r="Q126" s="22"/>
      <c r="R126" s="119"/>
      <c r="S126" s="140"/>
      <c r="T126" s="127"/>
      <c r="U126" s="128"/>
      <c r="V126" s="22"/>
      <c r="W126" s="119"/>
      <c r="X126" s="138"/>
      <c r="Y126" s="119"/>
      <c r="Z126" s="22"/>
      <c r="AA126" s="130"/>
      <c r="AB126" s="130"/>
      <c r="AC126" s="103"/>
      <c r="AD126" s="130"/>
      <c r="AE126" s="103"/>
      <c r="AF126" s="130"/>
      <c r="AG126" s="103"/>
      <c r="AH126" s="130"/>
      <c r="AI126" s="22"/>
      <c r="AJ126" s="131"/>
      <c r="AK126" s="22"/>
      <c r="AL126" s="130"/>
      <c r="AM126" s="132"/>
      <c r="AN126" s="103"/>
      <c r="AO126" s="132"/>
      <c r="AP126" s="126"/>
      <c r="AQ126" s="132"/>
      <c r="AR126" s="29"/>
      <c r="AS126" s="29"/>
      <c r="AT126" s="29"/>
      <c r="AU126" s="22"/>
      <c r="AV126" s="122"/>
      <c r="AW126" s="122"/>
      <c r="AX126" s="130"/>
      <c r="AY126" s="22"/>
      <c r="AZ126" s="133"/>
      <c r="BA126" s="22"/>
      <c r="BB126" s="126"/>
      <c r="BC126" s="22"/>
      <c r="BD126" s="22"/>
      <c r="BE126" s="22"/>
      <c r="BF126" s="22"/>
      <c r="BG126" s="22"/>
      <c r="BH126" s="22"/>
      <c r="BI126" s="22"/>
      <c r="BJ126" s="22"/>
      <c r="BK126" s="22"/>
    </row>
    <row r="127" spans="1:63" ht="18.75" x14ac:dyDescent="0.25">
      <c r="A127" s="28"/>
      <c r="B127" s="134"/>
      <c r="C127" s="22"/>
      <c r="D127" s="22"/>
      <c r="E127" s="27"/>
      <c r="F127" s="27"/>
      <c r="G127" s="17"/>
      <c r="H127" s="17"/>
      <c r="I127" s="17"/>
      <c r="J127" s="17"/>
      <c r="K127" s="20"/>
      <c r="L127" s="20"/>
      <c r="M127" s="26"/>
      <c r="N127" s="98"/>
      <c r="O127" s="17"/>
      <c r="P127" s="25"/>
      <c r="Q127" s="17"/>
      <c r="R127" s="118"/>
      <c r="S127" s="24"/>
      <c r="T127" s="98"/>
      <c r="U127" s="17"/>
      <c r="V127" s="17"/>
      <c r="W127" s="17"/>
      <c r="X127" s="135"/>
      <c r="Y127" s="119"/>
      <c r="Z127" s="17"/>
      <c r="AA127" s="22"/>
      <c r="AB127" s="22"/>
      <c r="AC127" s="22"/>
      <c r="AD127" s="22"/>
      <c r="AE127" s="140"/>
      <c r="AF127" s="140"/>
      <c r="AG127" s="22"/>
      <c r="AH127" s="22"/>
      <c r="AI127" s="17"/>
      <c r="AJ127" s="21"/>
      <c r="AK127" s="17"/>
      <c r="AL127" s="17"/>
      <c r="AM127" s="17"/>
      <c r="AN127" s="17"/>
      <c r="AO127" s="17"/>
      <c r="AP127" s="25"/>
      <c r="AQ127" s="17"/>
      <c r="AR127" s="29"/>
      <c r="AS127" s="29"/>
      <c r="AT127" s="16"/>
      <c r="AU127" s="17"/>
      <c r="AV127" s="16"/>
      <c r="AW127" s="16"/>
      <c r="AX127" s="16"/>
      <c r="AY127" s="17"/>
      <c r="AZ127" s="21"/>
      <c r="BA127" s="17"/>
      <c r="BB127" s="20"/>
      <c r="BC127" s="17"/>
      <c r="BD127" s="17"/>
      <c r="BE127" s="17"/>
      <c r="BF127" s="17"/>
      <c r="BG127" s="17"/>
      <c r="BH127" s="17"/>
      <c r="BI127" s="17"/>
      <c r="BJ127" s="17"/>
      <c r="BK127" s="17"/>
    </row>
    <row r="128" spans="1:63" ht="18.75" x14ac:dyDescent="0.25">
      <c r="A128" s="28"/>
      <c r="B128" s="22"/>
      <c r="C128" s="22"/>
      <c r="D128" s="22"/>
      <c r="E128" s="27"/>
      <c r="F128" s="27"/>
      <c r="G128" s="17"/>
      <c r="H128" s="17"/>
      <c r="I128" s="17"/>
      <c r="J128" s="17"/>
      <c r="K128" s="20"/>
      <c r="L128" s="20"/>
      <c r="M128" s="26"/>
      <c r="N128" s="98"/>
      <c r="O128" s="17"/>
      <c r="P128" s="25"/>
      <c r="Q128" s="17"/>
      <c r="R128" s="118"/>
      <c r="S128" s="24"/>
      <c r="T128" s="98"/>
      <c r="U128" s="17"/>
      <c r="V128" s="17"/>
      <c r="W128" s="17"/>
      <c r="X128" s="135"/>
      <c r="Y128" s="119"/>
      <c r="Z128" s="17"/>
      <c r="AA128" s="22"/>
      <c r="AB128" s="22"/>
      <c r="AC128" s="22"/>
      <c r="AD128" s="22"/>
      <c r="AE128" s="140"/>
      <c r="AF128" s="140"/>
      <c r="AG128" s="22"/>
      <c r="AH128" s="22"/>
      <c r="AI128" s="17"/>
      <c r="AJ128" s="21"/>
      <c r="AK128" s="17"/>
      <c r="AL128" s="17"/>
      <c r="AM128" s="17"/>
      <c r="AN128" s="17"/>
      <c r="AO128" s="17"/>
      <c r="AP128" s="25"/>
      <c r="AQ128" s="17"/>
      <c r="AR128" s="16"/>
      <c r="AS128" s="16"/>
      <c r="AT128" s="16"/>
      <c r="AU128" s="17"/>
      <c r="AV128" s="16"/>
      <c r="AW128" s="16"/>
      <c r="AX128" s="16"/>
      <c r="AY128" s="17"/>
      <c r="AZ128" s="21"/>
      <c r="BA128" s="17"/>
      <c r="BB128" s="20"/>
      <c r="BC128" s="17"/>
      <c r="BD128" s="17"/>
      <c r="BE128" s="17"/>
      <c r="BF128" s="17"/>
      <c r="BG128" s="17"/>
      <c r="BH128" s="17"/>
      <c r="BI128" s="17"/>
      <c r="BJ128" s="17"/>
      <c r="BK128" s="17"/>
    </row>
    <row r="129" spans="1:63" ht="15.75" x14ac:dyDescent="0.25">
      <c r="A129" s="120"/>
      <c r="B129" s="22"/>
      <c r="C129" s="22"/>
      <c r="D129" s="121"/>
      <c r="E129" s="122"/>
      <c r="F129" s="122"/>
      <c r="G129" s="22"/>
      <c r="H129" s="22"/>
      <c r="I129" s="122"/>
      <c r="J129" s="22"/>
      <c r="K129" s="123"/>
      <c r="L129" s="123"/>
      <c r="M129" s="118"/>
      <c r="N129" s="124"/>
      <c r="O129" s="22"/>
      <c r="P129" s="125"/>
      <c r="Q129" s="22"/>
      <c r="R129" s="119"/>
      <c r="S129" s="140"/>
      <c r="T129" s="127"/>
      <c r="U129" s="128"/>
      <c r="V129" s="22"/>
      <c r="W129" s="119"/>
      <c r="X129" s="129"/>
      <c r="Y129" s="119"/>
      <c r="Z129" s="22"/>
      <c r="AA129" s="130"/>
      <c r="AB129" s="130"/>
      <c r="AC129" s="103"/>
      <c r="AD129" s="130"/>
      <c r="AE129" s="103"/>
      <c r="AF129" s="130"/>
      <c r="AG129" s="103"/>
      <c r="AH129" s="130"/>
      <c r="AI129" s="22"/>
      <c r="AJ129" s="131"/>
      <c r="AK129" s="22"/>
      <c r="AL129" s="130"/>
      <c r="AM129" s="132"/>
      <c r="AN129" s="103"/>
      <c r="AO129" s="132"/>
      <c r="AP129" s="126"/>
      <c r="AQ129" s="132"/>
      <c r="AR129" s="29"/>
      <c r="AS129" s="29"/>
      <c r="AT129" s="29"/>
      <c r="AU129" s="22"/>
      <c r="AV129" s="122"/>
      <c r="AW129" s="122"/>
      <c r="AX129" s="130"/>
      <c r="AY129" s="22"/>
      <c r="AZ129" s="133"/>
      <c r="BA129" s="22"/>
      <c r="BB129" s="126"/>
      <c r="BC129" s="22"/>
      <c r="BD129" s="22"/>
      <c r="BE129" s="22"/>
      <c r="BF129" s="22"/>
      <c r="BG129" s="22"/>
      <c r="BH129" s="22"/>
      <c r="BI129" s="22"/>
      <c r="BJ129" s="22"/>
      <c r="BK129" s="22"/>
    </row>
    <row r="130" spans="1:63" ht="15.75" x14ac:dyDescent="0.25">
      <c r="A130" s="120"/>
      <c r="B130" s="22"/>
      <c r="C130" s="22"/>
      <c r="D130" s="121"/>
      <c r="E130" s="122"/>
      <c r="F130" s="122"/>
      <c r="G130" s="22"/>
      <c r="H130" s="22"/>
      <c r="I130" s="122"/>
      <c r="J130" s="22"/>
      <c r="K130" s="123"/>
      <c r="L130" s="123"/>
      <c r="M130" s="118"/>
      <c r="N130" s="124"/>
      <c r="O130" s="22"/>
      <c r="P130" s="125"/>
      <c r="Q130" s="22"/>
      <c r="R130" s="119"/>
      <c r="S130" s="140"/>
      <c r="T130" s="127"/>
      <c r="U130" s="128"/>
      <c r="V130" s="22"/>
      <c r="W130" s="119"/>
      <c r="X130" s="138"/>
      <c r="Y130" s="119"/>
      <c r="Z130" s="22"/>
      <c r="AA130" s="130"/>
      <c r="AB130" s="130"/>
      <c r="AC130" s="103"/>
      <c r="AD130" s="130"/>
      <c r="AE130" s="103"/>
      <c r="AF130" s="130"/>
      <c r="AG130" s="103"/>
      <c r="AH130" s="130"/>
      <c r="AI130" s="22"/>
      <c r="AJ130" s="131"/>
      <c r="AK130" s="22"/>
      <c r="AL130" s="130"/>
      <c r="AM130" s="132"/>
      <c r="AN130" s="103"/>
      <c r="AO130" s="132"/>
      <c r="AP130" s="126"/>
      <c r="AQ130" s="132"/>
      <c r="AR130" s="29"/>
      <c r="AS130" s="29"/>
      <c r="AT130" s="29"/>
      <c r="AU130" s="22"/>
      <c r="AV130" s="122"/>
      <c r="AW130" s="122"/>
      <c r="AX130" s="130"/>
      <c r="AY130" s="22"/>
      <c r="AZ130" s="133"/>
      <c r="BA130" s="22"/>
      <c r="BB130" s="126"/>
      <c r="BC130" s="22"/>
      <c r="BD130" s="22"/>
      <c r="BE130" s="22"/>
      <c r="BF130" s="22"/>
      <c r="BG130" s="22"/>
      <c r="BH130" s="22"/>
      <c r="BI130" s="22"/>
      <c r="BJ130" s="22"/>
      <c r="BK130" s="22"/>
    </row>
    <row r="131" spans="1:63" ht="15.75" x14ac:dyDescent="0.25">
      <c r="A131" s="120"/>
      <c r="B131" s="22"/>
      <c r="C131" s="22"/>
      <c r="D131" s="121"/>
      <c r="E131" s="122"/>
      <c r="F131" s="122"/>
      <c r="G131" s="22"/>
      <c r="H131" s="22"/>
      <c r="I131" s="122"/>
      <c r="J131" s="22"/>
      <c r="K131" s="123"/>
      <c r="L131" s="123"/>
      <c r="M131" s="118"/>
      <c r="N131" s="124"/>
      <c r="O131" s="22"/>
      <c r="P131" s="125"/>
      <c r="Q131" s="22"/>
      <c r="R131" s="119"/>
      <c r="S131" s="140"/>
      <c r="T131" s="127"/>
      <c r="U131" s="128"/>
      <c r="V131" s="22"/>
      <c r="W131" s="119"/>
      <c r="X131" s="129"/>
      <c r="Y131" s="119"/>
      <c r="Z131" s="22"/>
      <c r="AA131" s="130"/>
      <c r="AB131" s="130"/>
      <c r="AC131" s="103"/>
      <c r="AD131" s="130"/>
      <c r="AE131" s="103"/>
      <c r="AF131" s="130"/>
      <c r="AG131" s="103"/>
      <c r="AH131" s="130"/>
      <c r="AI131" s="22"/>
      <c r="AJ131" s="131"/>
      <c r="AK131" s="22"/>
      <c r="AL131" s="130"/>
      <c r="AM131" s="132"/>
      <c r="AN131" s="103"/>
      <c r="AO131" s="132"/>
      <c r="AP131" s="126"/>
      <c r="AQ131" s="132"/>
      <c r="AR131" s="29"/>
      <c r="AS131" s="29"/>
      <c r="AT131" s="29"/>
      <c r="AU131" s="22"/>
      <c r="AV131" s="122"/>
      <c r="AW131" s="122"/>
      <c r="AX131" s="130"/>
      <c r="AY131" s="22"/>
      <c r="AZ131" s="133"/>
      <c r="BA131" s="22"/>
      <c r="BB131" s="126"/>
      <c r="BC131" s="22"/>
      <c r="BD131" s="22"/>
      <c r="BE131" s="22"/>
      <c r="BF131" s="22"/>
      <c r="BG131" s="22"/>
      <c r="BH131" s="22"/>
      <c r="BI131" s="22"/>
      <c r="BJ131" s="22"/>
      <c r="BK131" s="22"/>
    </row>
    <row r="132" spans="1:63" ht="15.75" x14ac:dyDescent="0.25">
      <c r="A132" s="120"/>
      <c r="B132" s="22"/>
      <c r="C132" s="22"/>
      <c r="D132" s="121"/>
      <c r="E132" s="122"/>
      <c r="F132" s="122"/>
      <c r="G132" s="22"/>
      <c r="H132" s="22"/>
      <c r="I132" s="122"/>
      <c r="J132" s="22"/>
      <c r="K132" s="123"/>
      <c r="L132" s="123"/>
      <c r="M132" s="118"/>
      <c r="N132" s="124"/>
      <c r="O132" s="22"/>
      <c r="P132" s="125"/>
      <c r="Q132" s="22"/>
      <c r="R132" s="119"/>
      <c r="S132" s="140"/>
      <c r="T132" s="127"/>
      <c r="U132" s="128"/>
      <c r="V132" s="22"/>
      <c r="W132" s="119"/>
      <c r="X132" s="129"/>
      <c r="Y132" s="119"/>
      <c r="Z132" s="22"/>
      <c r="AA132" s="130"/>
      <c r="AB132" s="130"/>
      <c r="AC132" s="103"/>
      <c r="AD132" s="130"/>
      <c r="AE132" s="103"/>
      <c r="AF132" s="130"/>
      <c r="AG132" s="103"/>
      <c r="AH132" s="130"/>
      <c r="AI132" s="22"/>
      <c r="AJ132" s="131"/>
      <c r="AK132" s="22"/>
      <c r="AL132" s="130"/>
      <c r="AM132" s="132"/>
      <c r="AN132" s="103"/>
      <c r="AO132" s="132"/>
      <c r="AP132" s="126"/>
      <c r="AQ132" s="132"/>
      <c r="AR132" s="29"/>
      <c r="AS132" s="29"/>
      <c r="AT132" s="29"/>
      <c r="AU132" s="22"/>
      <c r="AV132" s="122"/>
      <c r="AW132" s="122"/>
      <c r="AX132" s="130"/>
      <c r="AY132" s="22"/>
      <c r="AZ132" s="133"/>
      <c r="BA132" s="22"/>
      <c r="BB132" s="126"/>
      <c r="BC132" s="22"/>
      <c r="BD132" s="22"/>
      <c r="BE132" s="22"/>
      <c r="BF132" s="22"/>
      <c r="BG132" s="22"/>
      <c r="BH132" s="22"/>
      <c r="BI132" s="22"/>
      <c r="BJ132" s="22"/>
      <c r="BK132" s="22"/>
    </row>
    <row r="133" spans="1:63" ht="15.75" x14ac:dyDescent="0.25">
      <c r="A133" s="120"/>
      <c r="B133" s="22"/>
      <c r="C133" s="22"/>
      <c r="D133" s="121"/>
      <c r="E133" s="122"/>
      <c r="F133" s="122"/>
      <c r="G133" s="22"/>
      <c r="H133" s="22"/>
      <c r="I133" s="122"/>
      <c r="J133" s="22"/>
      <c r="K133" s="123"/>
      <c r="L133" s="123"/>
      <c r="M133" s="118"/>
      <c r="N133" s="124"/>
      <c r="O133" s="22"/>
      <c r="P133" s="125"/>
      <c r="Q133" s="22"/>
      <c r="R133" s="119"/>
      <c r="S133" s="140"/>
      <c r="T133" s="127"/>
      <c r="U133" s="128"/>
      <c r="V133" s="22"/>
      <c r="W133" s="119"/>
      <c r="X133" s="129"/>
      <c r="Y133" s="119"/>
      <c r="Z133" s="22"/>
      <c r="AA133" s="130"/>
      <c r="AB133" s="130"/>
      <c r="AC133" s="103"/>
      <c r="AD133" s="130"/>
      <c r="AE133" s="103"/>
      <c r="AF133" s="130"/>
      <c r="AG133" s="103"/>
      <c r="AH133" s="130"/>
      <c r="AI133" s="22"/>
      <c r="AJ133" s="131"/>
      <c r="AK133" s="22"/>
      <c r="AL133" s="130"/>
      <c r="AM133" s="132"/>
      <c r="AN133" s="103"/>
      <c r="AO133" s="132"/>
      <c r="AP133" s="126"/>
      <c r="AQ133" s="132"/>
      <c r="AR133" s="29"/>
      <c r="AS133" s="29"/>
      <c r="AT133" s="29"/>
      <c r="AU133" s="22"/>
      <c r="AV133" s="122"/>
      <c r="AW133" s="122"/>
      <c r="AX133" s="130"/>
      <c r="AY133" s="22"/>
      <c r="AZ133" s="133"/>
      <c r="BA133" s="22"/>
      <c r="BB133" s="126"/>
      <c r="BC133" s="22"/>
      <c r="BD133" s="22"/>
      <c r="BE133" s="22"/>
      <c r="BF133" s="22"/>
      <c r="BG133" s="22"/>
      <c r="BH133" s="22"/>
      <c r="BI133" s="22"/>
      <c r="BJ133" s="22"/>
      <c r="BK133" s="22"/>
    </row>
    <row r="134" spans="1:63" ht="15.75" x14ac:dyDescent="0.25">
      <c r="A134" s="120"/>
      <c r="B134" s="22"/>
      <c r="C134" s="121"/>
      <c r="D134" s="121"/>
      <c r="E134" s="122"/>
      <c r="F134" s="122"/>
      <c r="G134" s="22"/>
      <c r="H134" s="22"/>
      <c r="I134" s="122"/>
      <c r="J134" s="22"/>
      <c r="K134" s="123"/>
      <c r="L134" s="123"/>
      <c r="M134" s="118"/>
      <c r="N134" s="124"/>
      <c r="O134" s="22"/>
      <c r="P134" s="125"/>
      <c r="Q134" s="22"/>
      <c r="R134" s="119"/>
      <c r="S134" s="140"/>
      <c r="T134" s="127"/>
      <c r="U134" s="128"/>
      <c r="V134" s="22"/>
      <c r="W134" s="119"/>
      <c r="X134" s="129"/>
      <c r="Y134" s="119"/>
      <c r="Z134" s="22"/>
      <c r="AA134" s="130"/>
      <c r="AB134" s="130"/>
      <c r="AC134" s="103"/>
      <c r="AD134" s="130"/>
      <c r="AE134" s="103"/>
      <c r="AF134" s="130"/>
      <c r="AG134" s="103"/>
      <c r="AH134" s="130"/>
      <c r="AI134" s="22"/>
      <c r="AJ134" s="131"/>
      <c r="AK134" s="22"/>
      <c r="AL134" s="130"/>
      <c r="AM134" s="132"/>
      <c r="AN134" s="103"/>
      <c r="AO134" s="132"/>
      <c r="AP134" s="126"/>
      <c r="AQ134" s="132"/>
      <c r="AR134" s="29"/>
      <c r="AS134" s="29"/>
      <c r="AT134" s="29"/>
      <c r="AU134" s="22"/>
      <c r="AV134" s="122"/>
      <c r="AW134" s="122"/>
      <c r="AX134" s="130"/>
      <c r="AY134" s="22"/>
      <c r="AZ134" s="133"/>
      <c r="BA134" s="22"/>
      <c r="BB134" s="126"/>
      <c r="BC134" s="22"/>
      <c r="BD134" s="22"/>
      <c r="BE134" s="22"/>
      <c r="BF134" s="22"/>
      <c r="BG134" s="22"/>
      <c r="BH134" s="22"/>
      <c r="BI134" s="22"/>
      <c r="BJ134" s="22"/>
      <c r="BK134" s="22"/>
    </row>
    <row r="135" spans="1:63" ht="15.75" x14ac:dyDescent="0.25">
      <c r="A135" s="120"/>
      <c r="B135" s="22"/>
      <c r="C135" s="22"/>
      <c r="D135" s="121"/>
      <c r="E135" s="122"/>
      <c r="F135" s="122"/>
      <c r="G135" s="22"/>
      <c r="H135" s="22"/>
      <c r="I135" s="122"/>
      <c r="J135" s="22"/>
      <c r="K135" s="123"/>
      <c r="L135" s="123"/>
      <c r="M135" s="118"/>
      <c r="N135" s="124"/>
      <c r="O135" s="22"/>
      <c r="P135" s="125"/>
      <c r="Q135" s="22"/>
      <c r="R135" s="119"/>
      <c r="S135" s="140"/>
      <c r="T135" s="127"/>
      <c r="U135" s="128"/>
      <c r="V135" s="22"/>
      <c r="W135" s="119"/>
      <c r="X135" s="129"/>
      <c r="Y135" s="119"/>
      <c r="Z135" s="22"/>
      <c r="AA135" s="130"/>
      <c r="AB135" s="130"/>
      <c r="AC135" s="103"/>
      <c r="AD135" s="130"/>
      <c r="AE135" s="103"/>
      <c r="AF135" s="130"/>
      <c r="AG135" s="103"/>
      <c r="AH135" s="130"/>
      <c r="AI135" s="22"/>
      <c r="AJ135" s="131"/>
      <c r="AK135" s="22"/>
      <c r="AL135" s="130"/>
      <c r="AM135" s="132"/>
      <c r="AN135" s="103"/>
      <c r="AO135" s="132"/>
      <c r="AP135" s="126"/>
      <c r="AQ135" s="132"/>
      <c r="AR135" s="29"/>
      <c r="AS135" s="29"/>
      <c r="AT135" s="29"/>
      <c r="AU135" s="22"/>
      <c r="AV135" s="122"/>
      <c r="AW135" s="122"/>
      <c r="AX135" s="130"/>
      <c r="AY135" s="22"/>
      <c r="AZ135" s="22"/>
      <c r="BA135" s="22"/>
      <c r="BB135" s="126"/>
      <c r="BC135" s="22"/>
      <c r="BD135" s="22"/>
      <c r="BE135" s="22"/>
      <c r="BF135" s="22"/>
      <c r="BG135" s="22"/>
      <c r="BH135" s="22"/>
      <c r="BI135" s="22"/>
      <c r="BJ135" s="22"/>
      <c r="BK135" s="22"/>
    </row>
    <row r="136" spans="1:63" ht="15.75" x14ac:dyDescent="0.25">
      <c r="A136" s="120"/>
      <c r="B136" s="22"/>
      <c r="C136" s="22"/>
      <c r="D136" s="121"/>
      <c r="E136" s="122"/>
      <c r="F136" s="122"/>
      <c r="G136" s="22"/>
      <c r="H136" s="22"/>
      <c r="I136" s="122"/>
      <c r="J136" s="22"/>
      <c r="K136" s="123"/>
      <c r="L136" s="123"/>
      <c r="M136" s="118"/>
      <c r="N136" s="124"/>
      <c r="O136" s="22"/>
      <c r="P136" s="125"/>
      <c r="Q136" s="22"/>
      <c r="R136" s="119"/>
      <c r="S136" s="126"/>
      <c r="T136" s="127"/>
      <c r="U136" s="128"/>
      <c r="V136" s="22"/>
      <c r="W136" s="119"/>
      <c r="X136" s="129"/>
      <c r="Y136" s="119"/>
      <c r="Z136" s="22"/>
      <c r="AA136" s="130"/>
      <c r="AB136" s="130"/>
      <c r="AC136" s="103"/>
      <c r="AD136" s="130"/>
      <c r="AE136" s="103"/>
      <c r="AF136" s="130"/>
      <c r="AG136" s="103"/>
      <c r="AH136" s="130"/>
      <c r="AI136" s="22"/>
      <c r="AJ136" s="131"/>
      <c r="AK136" s="22"/>
      <c r="AL136" s="130"/>
      <c r="AM136" s="132"/>
      <c r="AN136" s="103"/>
      <c r="AO136" s="132"/>
      <c r="AP136" s="126"/>
      <c r="AQ136" s="132"/>
      <c r="AR136" s="29"/>
      <c r="AS136" s="29"/>
      <c r="AT136" s="29"/>
      <c r="AU136" s="22"/>
      <c r="AV136" s="122"/>
      <c r="AW136" s="122"/>
      <c r="AX136" s="130"/>
      <c r="AY136" s="22"/>
      <c r="AZ136" s="133"/>
      <c r="BA136" s="22"/>
      <c r="BB136" s="126"/>
      <c r="BC136" s="22"/>
      <c r="BD136" s="22"/>
      <c r="BE136" s="22"/>
      <c r="BF136" s="22"/>
      <c r="BG136" s="22"/>
      <c r="BH136" s="22"/>
      <c r="BI136" s="22"/>
      <c r="BJ136" s="22"/>
      <c r="BK136" s="22"/>
    </row>
    <row r="137" spans="1:63" ht="15.75" x14ac:dyDescent="0.25">
      <c r="A137" s="120"/>
      <c r="B137" s="22"/>
      <c r="C137" s="22"/>
      <c r="D137" s="121"/>
      <c r="E137" s="122"/>
      <c r="F137" s="122"/>
      <c r="G137" s="22"/>
      <c r="H137" s="22"/>
      <c r="I137" s="122"/>
      <c r="J137" s="22"/>
      <c r="K137" s="123"/>
      <c r="L137" s="123"/>
      <c r="M137" s="118"/>
      <c r="N137" s="124"/>
      <c r="O137" s="22"/>
      <c r="P137" s="125"/>
      <c r="Q137" s="22"/>
      <c r="R137" s="119"/>
      <c r="S137" s="140"/>
      <c r="T137" s="127"/>
      <c r="U137" s="128"/>
      <c r="V137" s="22"/>
      <c r="W137" s="119"/>
      <c r="X137" s="129"/>
      <c r="Y137" s="119"/>
      <c r="Z137" s="22"/>
      <c r="AA137" s="130"/>
      <c r="AB137" s="130"/>
      <c r="AC137" s="103"/>
      <c r="AD137" s="130"/>
      <c r="AE137" s="103"/>
      <c r="AF137" s="130"/>
      <c r="AG137" s="103"/>
      <c r="AH137" s="130"/>
      <c r="AI137" s="22"/>
      <c r="AJ137" s="131"/>
      <c r="AK137" s="22"/>
      <c r="AL137" s="130"/>
      <c r="AM137" s="132"/>
      <c r="AN137" s="103"/>
      <c r="AO137" s="132"/>
      <c r="AP137" s="126"/>
      <c r="AQ137" s="132"/>
      <c r="AR137" s="29"/>
      <c r="AS137" s="29"/>
      <c r="AT137" s="29"/>
      <c r="AU137" s="22"/>
      <c r="AV137" s="122"/>
      <c r="AW137" s="122"/>
      <c r="AX137" s="130"/>
      <c r="AY137" s="22"/>
      <c r="AZ137" s="22"/>
      <c r="BA137" s="22"/>
      <c r="BB137" s="126"/>
      <c r="BC137" s="22"/>
      <c r="BD137" s="22"/>
      <c r="BE137" s="22"/>
      <c r="BF137" s="22"/>
      <c r="BG137" s="22"/>
      <c r="BH137" s="22"/>
      <c r="BI137" s="22"/>
      <c r="BJ137" s="22"/>
      <c r="BK137" s="22"/>
    </row>
    <row r="138" spans="1:63" ht="15.75" x14ac:dyDescent="0.25">
      <c r="A138" s="120"/>
      <c r="B138" s="22"/>
      <c r="C138" s="22"/>
      <c r="D138" s="121"/>
      <c r="E138" s="122"/>
      <c r="F138" s="122"/>
      <c r="G138" s="22"/>
      <c r="H138" s="22"/>
      <c r="I138" s="122"/>
      <c r="J138" s="22"/>
      <c r="K138" s="123"/>
      <c r="L138" s="123"/>
      <c r="M138" s="118"/>
      <c r="N138" s="124"/>
      <c r="O138" s="22"/>
      <c r="P138" s="125"/>
      <c r="Q138" s="22"/>
      <c r="R138" s="119"/>
      <c r="S138" s="140"/>
      <c r="T138" s="127"/>
      <c r="U138" s="128"/>
      <c r="V138" s="22"/>
      <c r="W138" s="119"/>
      <c r="X138" s="129"/>
      <c r="Y138" s="119"/>
      <c r="Z138" s="22"/>
      <c r="AA138" s="130"/>
      <c r="AB138" s="130"/>
      <c r="AC138" s="103"/>
      <c r="AD138" s="130"/>
      <c r="AE138" s="103"/>
      <c r="AF138" s="130"/>
      <c r="AG138" s="103"/>
      <c r="AH138" s="130"/>
      <c r="AI138" s="22"/>
      <c r="AJ138" s="131"/>
      <c r="AK138" s="22"/>
      <c r="AL138" s="130"/>
      <c r="AM138" s="132"/>
      <c r="AN138" s="103"/>
      <c r="AO138" s="132"/>
      <c r="AP138" s="126"/>
      <c r="AQ138" s="132"/>
      <c r="AR138" s="29"/>
      <c r="AS138" s="29"/>
      <c r="AT138" s="29"/>
      <c r="AU138" s="22"/>
      <c r="AV138" s="122"/>
      <c r="AW138" s="122"/>
      <c r="AX138" s="130"/>
      <c r="AY138" s="22"/>
      <c r="AZ138" s="133"/>
      <c r="BA138" s="22"/>
      <c r="BB138" s="126"/>
      <c r="BC138" s="22"/>
      <c r="BD138" s="22"/>
      <c r="BE138" s="22"/>
      <c r="BF138" s="22"/>
      <c r="BG138" s="22"/>
      <c r="BH138" s="22"/>
      <c r="BI138" s="22"/>
      <c r="BJ138" s="22"/>
      <c r="BK138" s="22"/>
    </row>
    <row r="139" spans="1:63" ht="15.75" x14ac:dyDescent="0.25">
      <c r="A139" s="120"/>
      <c r="B139" s="22"/>
      <c r="C139" s="22"/>
      <c r="D139" s="121"/>
      <c r="E139" s="122"/>
      <c r="F139" s="122"/>
      <c r="G139" s="22"/>
      <c r="H139" s="22"/>
      <c r="I139" s="122"/>
      <c r="J139" s="22"/>
      <c r="K139" s="123"/>
      <c r="L139" s="123"/>
      <c r="M139" s="118"/>
      <c r="N139" s="124"/>
      <c r="O139" s="22"/>
      <c r="P139" s="125"/>
      <c r="Q139" s="22"/>
      <c r="R139" s="119"/>
      <c r="S139" s="140"/>
      <c r="T139" s="127"/>
      <c r="U139" s="128"/>
      <c r="V139" s="22"/>
      <c r="W139" s="119"/>
      <c r="X139" s="129"/>
      <c r="Y139" s="119"/>
      <c r="Z139" s="22"/>
      <c r="AA139" s="130"/>
      <c r="AB139" s="130"/>
      <c r="AC139" s="103"/>
      <c r="AD139" s="130"/>
      <c r="AE139" s="103"/>
      <c r="AF139" s="130"/>
      <c r="AG139" s="103"/>
      <c r="AH139" s="130"/>
      <c r="AI139" s="22"/>
      <c r="AJ139" s="131"/>
      <c r="AK139" s="22"/>
      <c r="AL139" s="130"/>
      <c r="AM139" s="132"/>
      <c r="AN139" s="103"/>
      <c r="AO139" s="132"/>
      <c r="AP139" s="126"/>
      <c r="AQ139" s="132"/>
      <c r="AR139" s="29"/>
      <c r="AS139" s="29"/>
      <c r="AT139" s="29"/>
      <c r="AU139" s="22"/>
      <c r="AV139" s="122"/>
      <c r="AW139" s="122"/>
      <c r="AX139" s="130"/>
      <c r="AY139" s="22"/>
      <c r="AZ139" s="133"/>
      <c r="BA139" s="22"/>
      <c r="BB139" s="126"/>
      <c r="BC139" s="22"/>
      <c r="BD139" s="22"/>
      <c r="BE139" s="22"/>
      <c r="BF139" s="22"/>
      <c r="BG139" s="22"/>
      <c r="BH139" s="22"/>
      <c r="BI139" s="22"/>
      <c r="BJ139" s="22"/>
      <c r="BK139" s="22"/>
    </row>
    <row r="140" spans="1:63" ht="15.75" x14ac:dyDescent="0.25">
      <c r="A140" s="120"/>
      <c r="B140" s="22"/>
      <c r="C140" s="22"/>
      <c r="D140" s="121"/>
      <c r="E140" s="122"/>
      <c r="F140" s="122"/>
      <c r="G140" s="22"/>
      <c r="H140" s="22"/>
      <c r="I140" s="122"/>
      <c r="J140" s="22"/>
      <c r="K140" s="123"/>
      <c r="L140" s="123"/>
      <c r="M140" s="118"/>
      <c r="N140" s="124"/>
      <c r="O140" s="22"/>
      <c r="P140" s="125"/>
      <c r="Q140" s="22"/>
      <c r="R140" s="119"/>
      <c r="S140" s="140"/>
      <c r="T140" s="127"/>
      <c r="U140" s="128"/>
      <c r="V140" s="22"/>
      <c r="W140" s="119"/>
      <c r="X140" s="129"/>
      <c r="Y140" s="119"/>
      <c r="Z140" s="22"/>
      <c r="AA140" s="130"/>
      <c r="AB140" s="130"/>
      <c r="AC140" s="103"/>
      <c r="AD140" s="130"/>
      <c r="AE140" s="103"/>
      <c r="AF140" s="130"/>
      <c r="AG140" s="103"/>
      <c r="AH140" s="130"/>
      <c r="AI140" s="22"/>
      <c r="AJ140" s="131"/>
      <c r="AK140" s="22"/>
      <c r="AL140" s="130"/>
      <c r="AM140" s="132"/>
      <c r="AN140" s="103"/>
      <c r="AO140" s="132"/>
      <c r="AP140" s="126"/>
      <c r="AQ140" s="132"/>
      <c r="AR140" s="29"/>
      <c r="AS140" s="29"/>
      <c r="AT140" s="29"/>
      <c r="AU140" s="22"/>
      <c r="AV140" s="122"/>
      <c r="AW140" s="122"/>
      <c r="AX140" s="130"/>
      <c r="AY140" s="22"/>
      <c r="AZ140" s="133"/>
      <c r="BA140" s="22"/>
      <c r="BB140" s="126"/>
      <c r="BC140" s="22"/>
      <c r="BD140" s="22"/>
      <c r="BE140" s="22"/>
      <c r="BF140" s="22"/>
      <c r="BG140" s="22"/>
      <c r="BH140" s="22"/>
      <c r="BI140" s="22"/>
      <c r="BJ140" s="22"/>
      <c r="BK140" s="22"/>
    </row>
    <row r="141" spans="1:63" ht="18.75" x14ac:dyDescent="0.25">
      <c r="A141" s="28"/>
      <c r="B141" s="134"/>
      <c r="C141" s="22"/>
      <c r="D141" s="22"/>
      <c r="E141" s="27"/>
      <c r="F141" s="27"/>
      <c r="G141" s="17"/>
      <c r="H141" s="17"/>
      <c r="I141" s="17"/>
      <c r="J141" s="17"/>
      <c r="K141" s="26"/>
      <c r="L141" s="20"/>
      <c r="M141" s="26"/>
      <c r="N141" s="98"/>
      <c r="O141" s="17"/>
      <c r="P141" s="25"/>
      <c r="Q141" s="17"/>
      <c r="R141" s="17"/>
      <c r="S141" s="24"/>
      <c r="T141" s="98"/>
      <c r="U141" s="17"/>
      <c r="V141" s="17"/>
      <c r="W141" s="17"/>
      <c r="X141" s="135"/>
      <c r="Y141" s="17"/>
      <c r="Z141" s="17"/>
      <c r="AA141" s="143"/>
      <c r="AB141" s="143"/>
      <c r="AC141" s="143"/>
      <c r="AD141" s="143"/>
      <c r="AE141" s="144"/>
      <c r="AF141" s="144"/>
      <c r="AG141" s="22"/>
      <c r="AH141" s="22"/>
      <c r="AI141" s="17"/>
      <c r="AJ141" s="21"/>
      <c r="AK141" s="17"/>
      <c r="AL141" s="132"/>
      <c r="AM141" s="17"/>
      <c r="AN141" s="17"/>
      <c r="AO141" s="17"/>
      <c r="AP141" s="25"/>
      <c r="AQ141" s="17"/>
      <c r="AR141" s="17"/>
      <c r="AS141" s="17"/>
      <c r="AT141" s="17"/>
      <c r="AU141" s="17"/>
      <c r="AV141" s="17"/>
      <c r="AW141" s="17"/>
      <c r="AX141" s="17"/>
      <c r="AY141" s="17"/>
      <c r="AZ141" s="21"/>
      <c r="BA141" s="17"/>
      <c r="BB141" s="20"/>
      <c r="BC141" s="17"/>
      <c r="BD141" s="17"/>
      <c r="BE141" s="17"/>
      <c r="BF141" s="17"/>
      <c r="BG141" s="17"/>
      <c r="BH141" s="17"/>
      <c r="BI141" s="17"/>
      <c r="BJ141" s="22"/>
      <c r="BK141" s="17"/>
    </row>
  </sheetData>
  <mergeCells count="28">
    <mergeCell ref="BD1:BF1"/>
    <mergeCell ref="BG1:BG2"/>
    <mergeCell ref="BH1:BJ1"/>
    <mergeCell ref="BK1:BK2"/>
    <mergeCell ref="AR1:AT1"/>
    <mergeCell ref="AU1:AU2"/>
    <mergeCell ref="AV1:AX1"/>
    <mergeCell ref="AY1:AY2"/>
    <mergeCell ref="BA1:BA2"/>
    <mergeCell ref="BC1:BC2"/>
    <mergeCell ref="AQ1:AQ2"/>
    <mergeCell ref="O1:O2"/>
    <mergeCell ref="Q1:Q2"/>
    <mergeCell ref="R1:U1"/>
    <mergeCell ref="V1:V2"/>
    <mergeCell ref="W1:Y1"/>
    <mergeCell ref="Z1:Z2"/>
    <mergeCell ref="AA1:AH1"/>
    <mergeCell ref="AI1:AI2"/>
    <mergeCell ref="AK1:AK2"/>
    <mergeCell ref="AM1:AM2"/>
    <mergeCell ref="AO1:AO2"/>
    <mergeCell ref="K1:N1"/>
    <mergeCell ref="A1:A2"/>
    <mergeCell ref="E1:G1"/>
    <mergeCell ref="H1:H2"/>
    <mergeCell ref="J1:J2"/>
    <mergeCell ref="C1:C2"/>
  </mergeCells>
  <conditionalFormatting sqref="E4:E11 E27:E36 X27:X36">
    <cfRule type="cellIs" dxfId="34" priority="23" operator="equal">
      <formula>"Previous Fiscal Year Active"</formula>
    </cfRule>
  </conditionalFormatting>
  <conditionalFormatting sqref="E14:E22">
    <cfRule type="cellIs" dxfId="33" priority="33" operator="equal">
      <formula>"Previous Fiscal Year Active"</formula>
    </cfRule>
  </conditionalFormatting>
  <conditionalFormatting sqref="E39:E45">
    <cfRule type="cellIs" dxfId="32" priority="32" operator="equal">
      <formula>"Previous Fiscal Year Active"</formula>
    </cfRule>
  </conditionalFormatting>
  <conditionalFormatting sqref="E48:E56">
    <cfRule type="cellIs" dxfId="31" priority="31" operator="equal">
      <formula>"Previous Fiscal Year Active"</formula>
    </cfRule>
  </conditionalFormatting>
  <conditionalFormatting sqref="E63:E69">
    <cfRule type="cellIs" dxfId="30" priority="30" operator="equal">
      <formula>"Previous Fiscal Year Active"</formula>
    </cfRule>
  </conditionalFormatting>
  <conditionalFormatting sqref="E72:E83">
    <cfRule type="cellIs" dxfId="29" priority="29" operator="equal">
      <formula>"Previous Fiscal Year Active"</formula>
    </cfRule>
  </conditionalFormatting>
  <conditionalFormatting sqref="E89:E97">
    <cfRule type="cellIs" dxfId="28" priority="28" operator="equal">
      <formula>"Previous Fiscal Year Active"</formula>
    </cfRule>
  </conditionalFormatting>
  <conditionalFormatting sqref="E100:E107">
    <cfRule type="cellIs" dxfId="27" priority="27" operator="equal">
      <formula>"Previous Fiscal Year Active"</formula>
    </cfRule>
  </conditionalFormatting>
  <conditionalFormatting sqref="E110:E116">
    <cfRule type="cellIs" dxfId="26" priority="26" operator="equal">
      <formula>"Previous Fiscal Year Active"</formula>
    </cfRule>
  </conditionalFormatting>
  <conditionalFormatting sqref="E120:E126">
    <cfRule type="cellIs" dxfId="25" priority="25" operator="equal">
      <formula>"Previous Fiscal Year Active"</formula>
    </cfRule>
  </conditionalFormatting>
  <conditionalFormatting sqref="E129:E140">
    <cfRule type="cellIs" dxfId="24" priority="24" operator="equal">
      <formula>"Previous Fiscal Year Active"</formula>
    </cfRule>
  </conditionalFormatting>
  <conditionalFormatting sqref="F4:F11 F27:F36">
    <cfRule type="cellIs" dxfId="23" priority="22" operator="equal">
      <formula>"Current Fiscal Year Active"</formula>
    </cfRule>
  </conditionalFormatting>
  <conditionalFormatting sqref="F14:F22">
    <cfRule type="cellIs" dxfId="22" priority="21" operator="equal">
      <formula>"Current Fiscal Year Active"</formula>
    </cfRule>
  </conditionalFormatting>
  <conditionalFormatting sqref="F39:F45">
    <cfRule type="cellIs" dxfId="21" priority="20" operator="equal">
      <formula>"Current Fiscal Year Active"</formula>
    </cfRule>
  </conditionalFormatting>
  <conditionalFormatting sqref="F48:F56">
    <cfRule type="cellIs" dxfId="20" priority="19" operator="equal">
      <formula>"Current Fiscal Year Active"</formula>
    </cfRule>
  </conditionalFormatting>
  <conditionalFormatting sqref="F63:F69">
    <cfRule type="cellIs" dxfId="19" priority="18" operator="equal">
      <formula>"Current Fiscal Year Active"</formula>
    </cfRule>
  </conditionalFormatting>
  <conditionalFormatting sqref="F72:F84">
    <cfRule type="cellIs" dxfId="18" priority="17" operator="equal">
      <formula>"Current Fiscal Year Active"</formula>
    </cfRule>
  </conditionalFormatting>
  <conditionalFormatting sqref="F89:F97">
    <cfRule type="cellIs" dxfId="17" priority="16" operator="equal">
      <formula>"Current Fiscal Year Active"</formula>
    </cfRule>
  </conditionalFormatting>
  <conditionalFormatting sqref="F100:F108">
    <cfRule type="cellIs" dxfId="16" priority="15" operator="equal">
      <formula>"Current Fiscal Year Active"</formula>
    </cfRule>
  </conditionalFormatting>
  <conditionalFormatting sqref="F110:F116">
    <cfRule type="cellIs" dxfId="15" priority="14" operator="equal">
      <formula>"Current Fiscal Year Active"</formula>
    </cfRule>
  </conditionalFormatting>
  <conditionalFormatting sqref="F120:F126">
    <cfRule type="cellIs" dxfId="14" priority="13" operator="equal">
      <formula>"Current Fiscal Year Active"</formula>
    </cfRule>
  </conditionalFormatting>
  <conditionalFormatting sqref="F129:F140">
    <cfRule type="cellIs" dxfId="13" priority="12" operator="equal">
      <formula>"Current Fiscal Year Active"</formula>
    </cfRule>
  </conditionalFormatting>
  <conditionalFormatting sqref="X4:X11">
    <cfRule type="cellIs" dxfId="12" priority="5" operator="equal">
      <formula>"Previous Fiscal Year Active"</formula>
    </cfRule>
  </conditionalFormatting>
  <conditionalFormatting sqref="X14:X22">
    <cfRule type="cellIs" dxfId="11" priority="10" operator="equal">
      <formula>"Previous Fiscal Year Active"</formula>
    </cfRule>
  </conditionalFormatting>
  <conditionalFormatting sqref="X39:X45">
    <cfRule type="cellIs" dxfId="10" priority="9" operator="equal">
      <formula>"Previous Fiscal Year Active"</formula>
    </cfRule>
  </conditionalFormatting>
  <conditionalFormatting sqref="X48:X56">
    <cfRule type="cellIs" dxfId="9" priority="8" operator="equal">
      <formula>"Previous Fiscal Year Active"</formula>
    </cfRule>
  </conditionalFormatting>
  <conditionalFormatting sqref="X63:X69">
    <cfRule type="cellIs" dxfId="8" priority="7" operator="equal">
      <formula>"Previous Fiscal Year Active"</formula>
    </cfRule>
  </conditionalFormatting>
  <conditionalFormatting sqref="X72:X83">
    <cfRule type="cellIs" dxfId="7" priority="1" operator="equal">
      <formula>"Previous Fiscal Year Active"</formula>
    </cfRule>
  </conditionalFormatting>
  <conditionalFormatting sqref="X89:X97">
    <cfRule type="cellIs" dxfId="6" priority="3" operator="equal">
      <formula>"Previous Fiscal Year Active"</formula>
    </cfRule>
  </conditionalFormatting>
  <conditionalFormatting sqref="X100:X107">
    <cfRule type="cellIs" dxfId="5" priority="2" operator="equal">
      <formula>"Previous Fiscal Year Active"</formula>
    </cfRule>
  </conditionalFormatting>
  <conditionalFormatting sqref="X110:X116">
    <cfRule type="cellIs" dxfId="4" priority="6" operator="equal">
      <formula>"Previous Fiscal Year Active"</formula>
    </cfRule>
  </conditionalFormatting>
  <conditionalFormatting sqref="X120:X126">
    <cfRule type="cellIs" dxfId="3" priority="11" operator="equal">
      <formula>"Previous Fiscal Year Active"</formula>
    </cfRule>
  </conditionalFormatting>
  <conditionalFormatting sqref="X129:X140">
    <cfRule type="cellIs" dxfId="2" priority="4" operator="equal">
      <formula>"Previous Fiscal Year Active"</formula>
    </cfRule>
  </conditionalFormatting>
  <conditionalFormatting sqref="AE127:AF128">
    <cfRule type="cellIs" dxfId="1" priority="35" operator="equal">
      <formula>"Difference"</formula>
    </cfRule>
  </conditionalFormatting>
  <conditionalFormatting sqref="AG4">
    <cfRule type="cellIs" dxfId="0" priority="34" operator="equal">
      <formula>"Difference"</formula>
    </cfRule>
  </conditionalFormatting>
  <printOptions horizontalCentered="1" verticalCentered="1"/>
  <pageMargins left="0.2" right="0.2" top="0.2" bottom="0.2" header="0" footer="0"/>
  <pageSetup orientation="landscape" r:id="rId1"/>
  <rowBreaks count="3" manualBreakCount="3">
    <brk id="24" max="16383" man="1"/>
    <brk id="84" max="16383" man="1"/>
    <brk id="11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6F66C-2BAB-4C0D-B14B-AA395C2ECD47}">
  <sheetPr>
    <tabColor rgb="FFFFFF00"/>
  </sheetPr>
  <dimension ref="A1:BK141"/>
  <sheetViews>
    <sheetView tabSelected="1" zoomScale="120" zoomScaleNormal="120" workbookViewId="0">
      <pane xSplit="1" ySplit="2" topLeftCell="B123" activePane="bottomRight" state="frozen"/>
      <selection activeCell="BB133" sqref="BB133"/>
      <selection pane="topRight" activeCell="BB133" sqref="BB133"/>
      <selection pane="bottomLeft" activeCell="BB133" sqref="BB133"/>
      <selection pane="bottomRight" activeCell="C133" sqref="C133"/>
    </sheetView>
  </sheetViews>
  <sheetFormatPr defaultColWidth="9.140625" defaultRowHeight="15" x14ac:dyDescent="0.25"/>
  <cols>
    <col min="1" max="1" width="36" style="168" customWidth="1"/>
    <col min="2" max="2" width="11.7109375" style="168" customWidth="1"/>
    <col min="3" max="7" width="9.7109375" style="168" customWidth="1"/>
    <col min="8" max="8" width="5.140625" style="168" bestFit="1" customWidth="1"/>
    <col min="9" max="9" width="10.140625" style="311" customWidth="1"/>
    <col min="10" max="10" width="4.7109375" style="168" customWidth="1"/>
    <col min="11" max="11" width="10.5703125" style="168" bestFit="1" customWidth="1"/>
    <col min="12" max="12" width="10.5703125" style="168" customWidth="1"/>
    <col min="13" max="13" width="10.7109375" style="168" customWidth="1"/>
    <col min="14" max="14" width="10.42578125" style="250" customWidth="1"/>
    <col min="15" max="15" width="4.7109375" style="168" customWidth="1"/>
    <col min="16" max="16" width="11.85546875" style="168" customWidth="1"/>
    <col min="17" max="17" width="4.7109375" style="168" customWidth="1"/>
    <col min="18" max="18" width="11.140625" style="168" customWidth="1"/>
    <col min="19" max="19" width="12" style="168" customWidth="1"/>
    <col min="20" max="20" width="12.28515625" style="250" customWidth="1"/>
    <col min="21" max="21" width="14.5703125" style="168" customWidth="1"/>
    <col min="22" max="22" width="6.140625" style="168" bestFit="1" customWidth="1"/>
    <col min="23" max="23" width="10.5703125" style="168" customWidth="1"/>
    <col min="24" max="24" width="11.28515625" style="251" customWidth="1"/>
    <col min="25" max="25" width="11.42578125" style="168" customWidth="1"/>
    <col min="26" max="26" width="4.7109375" style="168" customWidth="1"/>
    <col min="27" max="27" width="11.42578125" style="168" bestFit="1" customWidth="1"/>
    <col min="28" max="28" width="9.5703125" style="168" customWidth="1"/>
    <col min="29" max="30" width="11" style="168" customWidth="1"/>
    <col min="31" max="31" width="11.42578125" style="220" bestFit="1" customWidth="1"/>
    <col min="32" max="32" width="9.140625" style="168"/>
    <col min="33" max="33" width="11.42578125" style="220" bestFit="1" customWidth="1"/>
    <col min="34" max="34" width="9.28515625" style="168" customWidth="1"/>
    <col min="35" max="35" width="5.140625" style="168" bestFit="1" customWidth="1"/>
    <col min="36" max="36" width="15.7109375" style="168" customWidth="1"/>
    <col min="37" max="37" width="4.7109375" style="168" customWidth="1"/>
    <col min="38" max="38" width="15.7109375" style="168" customWidth="1"/>
    <col min="39" max="39" width="4.7109375" style="168" customWidth="1"/>
    <col min="40" max="40" width="12.7109375" style="168" customWidth="1"/>
    <col min="41" max="41" width="4.7109375" style="168" customWidth="1"/>
    <col min="42" max="42" width="12.7109375" style="168" customWidth="1"/>
    <col min="43" max="43" width="4.7109375" style="168" customWidth="1"/>
    <col min="44" max="46" width="11.7109375" style="168" customWidth="1"/>
    <col min="47" max="49" width="5.7109375" style="168" customWidth="1"/>
    <col min="50" max="50" width="10.7109375" style="168" customWidth="1"/>
    <col min="51" max="51" width="5.7109375" style="168" customWidth="1"/>
    <col min="52" max="52" width="41.140625" style="168" bestFit="1" customWidth="1"/>
    <col min="53" max="53" width="5.7109375" style="168" customWidth="1"/>
    <col min="54" max="54" width="10.7109375" style="168" customWidth="1"/>
    <col min="55" max="55" width="5.7109375" style="168" customWidth="1"/>
    <col min="56" max="58" width="8.7109375" style="168" customWidth="1"/>
    <col min="59" max="59" width="4.7109375" style="168" customWidth="1"/>
    <col min="60" max="62" width="8.7109375" style="168" customWidth="1"/>
    <col min="63" max="63" width="4.7109375" style="168" customWidth="1"/>
    <col min="64" max="16384" width="9.140625" style="168"/>
  </cols>
  <sheetData>
    <row r="1" spans="1:63" ht="51.75" customHeight="1" thickBot="1" x14ac:dyDescent="0.3">
      <c r="A1" s="360" t="s">
        <v>693</v>
      </c>
      <c r="B1" s="72" t="s">
        <v>145</v>
      </c>
      <c r="C1" s="365" t="s">
        <v>144</v>
      </c>
      <c r="D1" s="73" t="s">
        <v>143</v>
      </c>
      <c r="E1" s="357" t="s">
        <v>642</v>
      </c>
      <c r="F1" s="362"/>
      <c r="G1" s="363"/>
      <c r="H1" s="355" t="s">
        <v>135</v>
      </c>
      <c r="I1" s="304" t="s">
        <v>650</v>
      </c>
      <c r="J1" s="355" t="s">
        <v>135</v>
      </c>
      <c r="K1" s="357" t="s">
        <v>141</v>
      </c>
      <c r="L1" s="358"/>
      <c r="M1" s="358"/>
      <c r="N1" s="359"/>
      <c r="O1" s="355" t="s">
        <v>135</v>
      </c>
      <c r="P1" s="74" t="s">
        <v>140</v>
      </c>
      <c r="Q1" s="355" t="s">
        <v>135</v>
      </c>
      <c r="R1" s="357" t="s">
        <v>641</v>
      </c>
      <c r="S1" s="358"/>
      <c r="T1" s="358"/>
      <c r="U1" s="359"/>
      <c r="V1" s="355" t="s">
        <v>135</v>
      </c>
      <c r="W1" s="357" t="s">
        <v>627</v>
      </c>
      <c r="X1" s="358"/>
      <c r="Y1" s="359"/>
      <c r="Z1" s="355" t="s">
        <v>135</v>
      </c>
      <c r="AA1" s="364" t="s">
        <v>628</v>
      </c>
      <c r="AB1" s="362"/>
      <c r="AC1" s="362"/>
      <c r="AD1" s="362"/>
      <c r="AE1" s="362"/>
      <c r="AF1" s="362"/>
      <c r="AG1" s="362"/>
      <c r="AH1" s="363"/>
      <c r="AI1" s="355" t="s">
        <v>135</v>
      </c>
      <c r="AJ1" s="75" t="s">
        <v>643</v>
      </c>
      <c r="AK1" s="369" t="s">
        <v>135</v>
      </c>
      <c r="AL1" s="76" t="s">
        <v>630</v>
      </c>
      <c r="AM1" s="355" t="s">
        <v>135</v>
      </c>
      <c r="AN1" s="77" t="s">
        <v>139</v>
      </c>
      <c r="AO1" s="355" t="s">
        <v>135</v>
      </c>
      <c r="AP1" s="77" t="s">
        <v>138</v>
      </c>
      <c r="AQ1" s="355" t="s">
        <v>135</v>
      </c>
      <c r="AR1" s="372" t="s">
        <v>631</v>
      </c>
      <c r="AS1" s="373"/>
      <c r="AT1" s="374"/>
      <c r="AU1" s="355" t="s">
        <v>135</v>
      </c>
      <c r="AV1" s="372" t="s">
        <v>137</v>
      </c>
      <c r="AW1" s="373"/>
      <c r="AX1" s="374"/>
      <c r="AY1" s="355" t="s">
        <v>135</v>
      </c>
      <c r="AZ1" s="78" t="s">
        <v>638</v>
      </c>
      <c r="BA1" s="377" t="s">
        <v>135</v>
      </c>
      <c r="BB1" s="79" t="s">
        <v>136</v>
      </c>
      <c r="BC1" s="355" t="s">
        <v>135</v>
      </c>
      <c r="BD1" s="372" t="s">
        <v>639</v>
      </c>
      <c r="BE1" s="373"/>
      <c r="BF1" s="374"/>
      <c r="BG1" s="355" t="s">
        <v>135</v>
      </c>
      <c r="BH1" s="372" t="s">
        <v>640</v>
      </c>
      <c r="BI1" s="373"/>
      <c r="BJ1" s="375"/>
      <c r="BK1" s="367" t="s">
        <v>135</v>
      </c>
    </row>
    <row r="2" spans="1:63" ht="37.5" customHeight="1" thickBot="1" x14ac:dyDescent="0.3">
      <c r="A2" s="361"/>
      <c r="B2" s="146" t="s">
        <v>528</v>
      </c>
      <c r="C2" s="366"/>
      <c r="D2" s="114" t="s">
        <v>549</v>
      </c>
      <c r="E2" s="80" t="s">
        <v>620</v>
      </c>
      <c r="F2" s="81" t="s">
        <v>784</v>
      </c>
      <c r="G2" s="82" t="s">
        <v>134</v>
      </c>
      <c r="H2" s="356"/>
      <c r="I2" s="305" t="s">
        <v>785</v>
      </c>
      <c r="J2" s="356"/>
      <c r="K2" s="83" t="s">
        <v>622</v>
      </c>
      <c r="L2" s="83" t="s">
        <v>689</v>
      </c>
      <c r="M2" s="82" t="s">
        <v>132</v>
      </c>
      <c r="N2" s="96" t="s">
        <v>646</v>
      </c>
      <c r="O2" s="356"/>
      <c r="P2" s="84" t="s">
        <v>131</v>
      </c>
      <c r="Q2" s="356"/>
      <c r="R2" s="85" t="s">
        <v>645</v>
      </c>
      <c r="S2" s="83" t="s">
        <v>690</v>
      </c>
      <c r="T2" s="96" t="s">
        <v>644</v>
      </c>
      <c r="U2" s="82" t="s">
        <v>129</v>
      </c>
      <c r="V2" s="356"/>
      <c r="W2" s="83" t="s">
        <v>291</v>
      </c>
      <c r="X2" s="106" t="s">
        <v>691</v>
      </c>
      <c r="Y2" s="83" t="s">
        <v>128</v>
      </c>
      <c r="Z2" s="356"/>
      <c r="AA2" s="83" t="s">
        <v>623</v>
      </c>
      <c r="AB2" s="100" t="s">
        <v>292</v>
      </c>
      <c r="AC2" s="83" t="s">
        <v>624</v>
      </c>
      <c r="AD2" s="100" t="s">
        <v>292</v>
      </c>
      <c r="AE2" s="82" t="s">
        <v>625</v>
      </c>
      <c r="AF2" s="100" t="s">
        <v>292</v>
      </c>
      <c r="AG2" s="82" t="s">
        <v>626</v>
      </c>
      <c r="AH2" s="100" t="s">
        <v>292</v>
      </c>
      <c r="AI2" s="356"/>
      <c r="AJ2" s="86" t="s">
        <v>629</v>
      </c>
      <c r="AK2" s="370"/>
      <c r="AL2" s="87" t="s">
        <v>127</v>
      </c>
      <c r="AM2" s="356"/>
      <c r="AN2" s="88">
        <v>46112</v>
      </c>
      <c r="AO2" s="356"/>
      <c r="AP2" s="89">
        <v>46120</v>
      </c>
      <c r="AQ2" s="356"/>
      <c r="AR2" s="90" t="s">
        <v>126</v>
      </c>
      <c r="AS2" s="90" t="s">
        <v>125</v>
      </c>
      <c r="AT2" s="90" t="s">
        <v>124</v>
      </c>
      <c r="AU2" s="376"/>
      <c r="AV2" s="91" t="s">
        <v>122</v>
      </c>
      <c r="AW2" s="92" t="s">
        <v>123</v>
      </c>
      <c r="AX2" s="93" t="s">
        <v>121</v>
      </c>
      <c r="AY2" s="356"/>
      <c r="AZ2" s="94" t="s">
        <v>120</v>
      </c>
      <c r="BA2" s="376"/>
      <c r="BB2" s="89" t="s">
        <v>692</v>
      </c>
      <c r="BC2" s="371"/>
      <c r="BD2" s="90" t="s">
        <v>118</v>
      </c>
      <c r="BE2" s="90" t="s">
        <v>119</v>
      </c>
      <c r="BF2" s="90" t="s">
        <v>117</v>
      </c>
      <c r="BG2" s="356"/>
      <c r="BH2" s="90" t="s">
        <v>118</v>
      </c>
      <c r="BI2" s="90" t="s">
        <v>119</v>
      </c>
      <c r="BJ2" s="95" t="s">
        <v>572</v>
      </c>
      <c r="BK2" s="368"/>
    </row>
    <row r="3" spans="1:63" ht="18.75" customHeight="1" x14ac:dyDescent="0.25">
      <c r="A3" s="169" t="s">
        <v>116</v>
      </c>
      <c r="B3" s="170"/>
      <c r="C3" s="170"/>
      <c r="D3" s="170"/>
      <c r="E3" s="171"/>
      <c r="F3" s="171"/>
      <c r="G3" s="171"/>
      <c r="H3" s="172" t="s">
        <v>0</v>
      </c>
      <c r="I3" s="306"/>
      <c r="J3" s="2"/>
      <c r="K3" s="171"/>
      <c r="L3" s="171"/>
      <c r="M3" s="171"/>
      <c r="N3" s="173"/>
      <c r="O3" s="171"/>
      <c r="P3" s="174"/>
      <c r="Q3" s="171"/>
      <c r="R3" s="171" t="s">
        <v>0</v>
      </c>
      <c r="S3" s="171"/>
      <c r="T3" s="173"/>
      <c r="U3" s="171"/>
      <c r="V3" s="171"/>
      <c r="X3" s="171"/>
      <c r="Y3" s="171"/>
      <c r="Z3" s="171"/>
      <c r="AA3" s="171"/>
      <c r="AB3" s="171"/>
      <c r="AC3" s="171"/>
      <c r="AD3" s="171"/>
      <c r="AE3" s="175"/>
      <c r="AF3" s="171"/>
      <c r="AG3" s="175"/>
      <c r="AH3" s="171"/>
      <c r="AI3" s="171"/>
      <c r="AJ3" s="174"/>
      <c r="AK3" s="174"/>
      <c r="AL3" s="171"/>
      <c r="AM3" s="30"/>
      <c r="AN3" s="171"/>
      <c r="AO3" s="171"/>
      <c r="AP3" s="171"/>
      <c r="AQ3" s="171"/>
      <c r="AR3" s="171"/>
      <c r="AS3" s="171"/>
      <c r="AT3" s="171"/>
      <c r="AU3" s="176"/>
      <c r="AV3" s="177"/>
      <c r="AW3" s="177"/>
      <c r="AX3" s="178"/>
      <c r="AY3" s="30"/>
      <c r="AZ3" s="171"/>
      <c r="BA3" s="171"/>
      <c r="BB3" s="179"/>
      <c r="BC3" s="174"/>
      <c r="BD3" s="171"/>
      <c r="BE3" s="171"/>
      <c r="BF3" s="171"/>
      <c r="BG3" s="171"/>
      <c r="BH3" s="171"/>
      <c r="BI3" s="171"/>
      <c r="BJ3" s="176"/>
      <c r="BK3" s="171"/>
    </row>
    <row r="4" spans="1:63" ht="15.75" customHeight="1" x14ac:dyDescent="0.25">
      <c r="A4" s="180" t="s">
        <v>115</v>
      </c>
      <c r="B4" s="252">
        <f t="shared" ref="B4:B11" si="0">+H4+J4+O4+Q4+V4+Z4+AI4+AK4+AM4+AO4+AQ4+AY4+BA4+BC4+BG4+BK4</f>
        <v>116</v>
      </c>
      <c r="C4" s="253">
        <f>RANK(B4,$B$4:$B$11)</f>
        <v>5</v>
      </c>
      <c r="D4" s="13">
        <f>'Lodge Rank by District'!E1</f>
        <v>69</v>
      </c>
      <c r="E4" s="9" t="str">
        <f>'Active &amp; Renewals'!C47</f>
        <v>533</v>
      </c>
      <c r="F4" s="9" t="str">
        <f>'Active &amp; Renewals'!D47</f>
        <v>515</v>
      </c>
      <c r="G4" s="2">
        <f t="shared" ref="G4:G11" si="1">+F4-E4</f>
        <v>-18</v>
      </c>
      <c r="H4" s="252" cm="1">
        <f t="array" ref="H4">_xlfn.IFS(G4&gt;20,11,G4&gt;11,10,G4&gt;2,9,G4&gt;0,8,G4&gt;-6,7,G4&gt;-11,6,G4&gt;-16,5,G4&gt;-21,4,G4&gt;-26,3,G4&gt;-31,2,G4&gt;-36,1,TRUE,0)</f>
        <v>4</v>
      </c>
      <c r="I4" s="113" t="str">
        <f>'Active &amp; Renewals'!E47</f>
        <v>83.24</v>
      </c>
      <c r="J4" s="252" cm="1">
        <f t="array" ref="J4">_xlfn.IFS(VALUE(I4)&gt;=90.5,11,VALUE(I4)&gt;=85.5,10,VALUE(I4)&gt;=80.5,9,VALUE(I4)&gt;=75.5,8,VALUE(I4)&gt;=74.5,7,VALUE(I4)&gt;=70.5,6,VALUE(I4)&gt;=64.5,5,VALUE(I4)&gt;=60.5,4,VALUE(I4)&gt;=54.5,3,VALUE(I4)&gt;=50.5,2,VALUE(I4)&gt;=44.5,1,TRUE,0)</f>
        <v>9</v>
      </c>
      <c r="K4" s="184">
        <v>1000</v>
      </c>
      <c r="L4" s="184">
        <f>Donations!B19</f>
        <v>1700</v>
      </c>
      <c r="M4" s="267">
        <f t="shared" ref="M4:M11" si="2">+L4-K4</f>
        <v>700</v>
      </c>
      <c r="N4" s="268">
        <f t="shared" ref="N4:N11" si="3">+L4/K4</f>
        <v>1.7</v>
      </c>
      <c r="O4" s="252" cm="1">
        <f t="array" ref="O4">_xlfn.IFS(N4&gt;=115.5%,11,N4&gt;=110.5%,10,N4&gt;=100.5%,9,N4&gt;=99.5%,8,N4&gt;=89.5%,7,N4&gt;=75.5%,6,N4&gt;=60.5%,5,N4&gt;=45.5%,4,N4&gt;=30.5%,3,N4&gt;=15.5%,2,N4&gt;=0.5%,1,TRUE,0)</f>
        <v>11</v>
      </c>
      <c r="P4" s="12">
        <f t="shared" ref="P4:P11" si="4">+L4/E4</f>
        <v>3.1894934333958722</v>
      </c>
      <c r="Q4" s="252" cm="1">
        <f t="array" ref="Q4">_xlfn.IFS(P4&gt;10,11,P4&gt;=8.01,10,P4&gt;=6.01,9,P4&gt;=4.01,8,P4=4,7,P4&gt;=3.01,6,P4&gt;=2.01,5,P4&gt;=1.51,4,P4&gt;=1.01,3,P4&gt;=0.51,2,P4&gt;=0.01,1,TRUE,0)</f>
        <v>6</v>
      </c>
      <c r="R4" s="269">
        <v>1599</v>
      </c>
      <c r="S4" s="186">
        <f>Donations!C19</f>
        <v>1700</v>
      </c>
      <c r="T4" s="279">
        <f>+S4/(R4/3)</f>
        <v>3.1894934333958722</v>
      </c>
      <c r="U4" s="10">
        <f>+S4-R4</f>
        <v>101</v>
      </c>
      <c r="V4" s="252" cm="1">
        <f t="array" ref="V4">_xlfn.IFS(T4&gt;=120%,11,T4&gt;=110.5%,10,T4&gt;=100.5%,9,T4&gt;99.9%,8,T4&gt;=85.5%,7,T4&gt;=72.5%,6,T4&gt;=65.5%,5,T4&gt;=55.5%,4,T4&gt;=45.5%,3,T4&gt;=35.5%,2,T4&gt;=20.5%,1,TRUE,0)</f>
        <v>11</v>
      </c>
      <c r="W4" s="269">
        <f t="shared" ref="W4:W11" si="5">E4*0.15</f>
        <v>79.95</v>
      </c>
      <c r="X4" s="186">
        <f>Donations!D19</f>
        <v>200</v>
      </c>
      <c r="Y4" s="269">
        <f t="shared" ref="Y4:Y11" si="6">+X4/E4</f>
        <v>0.37523452157598497</v>
      </c>
      <c r="Z4" s="252" cm="1">
        <f t="array" ref="Z4">_xlfn.IFS(Y4&gt;=0.26,11,Y4&gt;=0.21,10,Y4&gt;=0.16,9,Y4=0.15,8,Y4=0.14,7,Y4=0.13,6,Y4&gt;=0.11,5,Y4&gt;=0.09,4,Y4&gt;=0.07,3,Y4&gt;=0.04,2,Y4&gt;=0.01,1,TRUE,0)</f>
        <v>11</v>
      </c>
      <c r="AA4" s="8" t="str">
        <f>'Active &amp; Renewals'!F47</f>
        <v>NO GRADE</v>
      </c>
      <c r="AB4" s="281" cm="1">
        <f t="array" ref="AB4">_xlfn.IFS(AA4="SUPERIOR",11,AA4="EXCELLENT",9,AA4="GOOD",7,AA4="LATE",5,AA4="NO GRADE",3,AA4="NA",2,AA4="NO REPORT",0)</f>
        <v>3</v>
      </c>
      <c r="AC4" s="8" t="str">
        <f>'Active &amp; Renewals'!H47</f>
        <v>NO GRADE</v>
      </c>
      <c r="AD4" s="281" cm="1">
        <f t="array" ref="AD4">_xlfn.IFS(AC4="SUPERIOR",11,AC4="EXCELLENT",9,AC4="GOOD",7,AC4="LATE",5,AC4="NO GRADE",3,AC4="NA",2,AC4="NO REPORT",0)</f>
        <v>3</v>
      </c>
      <c r="AE4" s="282" t="str">
        <f>'Active &amp; Renewals'!J47</f>
        <v>NO REPORT</v>
      </c>
      <c r="AF4" s="281" cm="1">
        <f t="array" ref="AF4">_xlfn.IFS(AE4="SUPERIOR",11,AE4="EXCELLENT",9,AE4="GOOD",7,AE4="LATE",5,AE4="NO GRADE",3,AE4="NA",2,AE4="NO REPORT",0)</f>
        <v>0</v>
      </c>
      <c r="AG4" s="282" t="str">
        <f>'Active &amp; Renewals'!L47</f>
        <v>NO REPORT</v>
      </c>
      <c r="AH4" s="281" cm="1">
        <f t="array" ref="AH4">_xlfn.IFS(AG4="SUPERIOR",11,AG4="EXCELLENT",9,AG4="GOOD",7,AG4="LATE",5,AG4="NO GRADE",3,AG4="NA",2,AG4="NO REPORT",0)</f>
        <v>0</v>
      </c>
      <c r="AI4" s="252">
        <f>SUM(AB4+AD4+AF4+AH4)</f>
        <v>6</v>
      </c>
      <c r="AJ4" s="188" t="s">
        <v>653</v>
      </c>
      <c r="AK4" s="252" cm="1">
        <f t="array" ref="AK4">_xlfn.IFS(AJ4="8/8",11,AJ4="7/8",7,AJ4="6/8",6,AJ4="5/8",5,AJ4="4/8",4,AJ4="3/8",3,AJ4="2/8",2,AJ4="1/8",1,AJ4="0/8",0,TRUE,0)</f>
        <v>6</v>
      </c>
      <c r="AL4" s="189">
        <v>1</v>
      </c>
      <c r="AM4" s="300" cm="1">
        <f t="array" ref="AM4">_xlfn.IFS(AL4&gt;6,11,AL4&gt;=4,10,AL4&gt;=2,9,AL4=1,8,TRUE,0)</f>
        <v>8</v>
      </c>
      <c r="AN4" s="280">
        <f>Donations!E19</f>
        <v>500</v>
      </c>
      <c r="AO4" s="300" cm="1">
        <f t="array" ref="AO4">_xlfn.IFS(AN4&gt;125,11,AN4&gt;=116,10,AN4&gt;=101,9,AN4=100,8,AN4&gt;=86,7,AN4&gt;=71,6,AN4&gt;=61,5,AN4&gt;=51,4,AN4&gt;=41,3,AN4&gt;=26,2,AN4&gt;=1,1,TRUE,0)</f>
        <v>11</v>
      </c>
      <c r="AP4" s="190">
        <f>Donations!F19</f>
        <v>50</v>
      </c>
      <c r="AQ4" s="300" cm="1">
        <f t="array" ref="AQ4">_xlfn.IFS(AP4&gt;600,11,AP4&gt;=551,10,AP4&gt;=501,9,AP4=500,8,AP4&gt;=326,7,AP4&gt;=251,6,AP4&gt;=201,5,AP4&gt;=151,4,AP4&gt;=101,3,AP4&gt;=76,2,AP4&gt;=1,1,TRUE,0)</f>
        <v>1</v>
      </c>
      <c r="AR4" s="349">
        <v>5</v>
      </c>
      <c r="AS4" s="349">
        <v>5</v>
      </c>
      <c r="AT4" s="349">
        <v>1</v>
      </c>
      <c r="AU4" s="352">
        <f t="shared" ref="AU4" si="7">+AR4+AS4+AT4</f>
        <v>11</v>
      </c>
      <c r="AV4" s="191">
        <v>4</v>
      </c>
      <c r="AW4" s="191">
        <v>2</v>
      </c>
      <c r="AX4" s="182">
        <v>5</v>
      </c>
      <c r="AY4" s="252">
        <f t="shared" ref="AY4:AY11" si="8">+AV4+AW4+AX4</f>
        <v>11</v>
      </c>
      <c r="AZ4" s="192"/>
      <c r="BA4" s="181"/>
      <c r="BB4" s="193">
        <v>0</v>
      </c>
      <c r="BC4" s="252" cm="1">
        <f t="array" ref="BC4">_xlfn.IFS(BB4=0,11,TRUE,0)</f>
        <v>11</v>
      </c>
      <c r="BD4" s="183">
        <v>0</v>
      </c>
      <c r="BE4" s="183">
        <v>0</v>
      </c>
      <c r="BF4" s="183">
        <v>4</v>
      </c>
      <c r="BG4" s="252">
        <f>SUM(BD4+BE4+BF4)</f>
        <v>4</v>
      </c>
      <c r="BH4" s="183">
        <v>2</v>
      </c>
      <c r="BI4" s="183">
        <v>0</v>
      </c>
      <c r="BJ4" s="194">
        <v>4</v>
      </c>
      <c r="BK4" s="252">
        <f>SUM(BH4+BI4+BJ4)</f>
        <v>6</v>
      </c>
    </row>
    <row r="5" spans="1:63" ht="15.75" x14ac:dyDescent="0.25">
      <c r="A5" s="180" t="s">
        <v>114</v>
      </c>
      <c r="B5" s="252">
        <f t="shared" si="0"/>
        <v>58</v>
      </c>
      <c r="C5" s="253">
        <f t="shared" ref="C5:C11" si="9">RANK(B5,$B$4:$B$11)</f>
        <v>8</v>
      </c>
      <c r="D5" s="13">
        <f>'Lodge Rank by District'!E2</f>
        <v>104</v>
      </c>
      <c r="E5" s="9" t="str">
        <f>'Active &amp; Renewals'!C75</f>
        <v>105</v>
      </c>
      <c r="F5" s="9" t="str">
        <f>'Active &amp; Renewals'!D75</f>
        <v>75</v>
      </c>
      <c r="G5" s="2">
        <f t="shared" si="1"/>
        <v>-30</v>
      </c>
      <c r="H5" s="252" cm="1">
        <f t="array" ref="H5">_xlfn.IFS(G5&gt;20,11,G5&gt;11,10,G5&gt;2,9,G5&gt;0,8,G5&gt;-6,7,G5&gt;-11,6,G5&gt;-16,5,G5&gt;-21,4,G5&gt;-26,3,G5&gt;-31,2,G5&gt;-36,1,TRUE,0)</f>
        <v>2</v>
      </c>
      <c r="I5" s="113" t="str">
        <f>'Active &amp; Renewals'!E75</f>
        <v>67.62</v>
      </c>
      <c r="J5" s="252" cm="1">
        <f t="array" ref="J5">_xlfn.IFS(VALUE(I5)&gt;=90.5,11,VALUE(I5)&gt;=85.5,10,VALUE(I5)&gt;=80.5,9,VALUE(I5)&gt;=75.5,8,VALUE(I5)&gt;=74.5,7,VALUE(I5)&gt;=70.5,6,VALUE(I5)&gt;=64.5,5,VALUE(I5)&gt;=60.5,4,VALUE(I5)&gt;=54.5,3,VALUE(I5)&gt;=50.5,2,VALUE(I5)&gt;=44.5,1,TRUE,0)</f>
        <v>5</v>
      </c>
      <c r="K5" s="184">
        <v>292</v>
      </c>
      <c r="L5" s="184">
        <f>Donations!B100</f>
        <v>126</v>
      </c>
      <c r="M5" s="267">
        <f t="shared" si="2"/>
        <v>-166</v>
      </c>
      <c r="N5" s="268">
        <f t="shared" si="3"/>
        <v>0.4315068493150685</v>
      </c>
      <c r="O5" s="252" cm="1">
        <f t="array" ref="O5">_xlfn.IFS(N5&gt;=115.5%,11,N5&gt;=110.5%,10,N5&gt;=100.5%,9,N5&gt;=99.5%,8,N5&gt;=89.5%,7,N5&gt;=75.5%,6,N5&gt;=60.5%,5,N5&gt;=45.5%,4,N5&gt;=30.5%,3,N5&gt;=15.5%,2,N5&gt;=0.5%,1,TRUE,0)</f>
        <v>3</v>
      </c>
      <c r="P5" s="12">
        <f t="shared" si="4"/>
        <v>1.2</v>
      </c>
      <c r="Q5" s="252" cm="1">
        <f t="array" ref="Q5">_xlfn.IFS(P5&gt;10,11,P5&gt;=8.01,10,P5&gt;=6.01,9,P5&gt;=4.01,8,P5=4,7,P5&gt;=3.01,6,P5&gt;=2.01,5,P5&gt;=1.51,4,P5&gt;=1.01,3,P5&gt;=0.51,2,P5&gt;=0.01,1,TRUE,0)</f>
        <v>3</v>
      </c>
      <c r="R5" s="269">
        <v>315</v>
      </c>
      <c r="S5" s="186">
        <f>Donations!C100</f>
        <v>0</v>
      </c>
      <c r="T5" s="279">
        <f t="shared" ref="T5:T11" si="10">+S5/(R5/3)</f>
        <v>0</v>
      </c>
      <c r="U5" s="10">
        <v>3</v>
      </c>
      <c r="V5" s="252" cm="1">
        <f t="array" ref="V5">_xlfn.IFS(T5&gt;=120%,11,T5&gt;=110.5%,10,T5&gt;=100.5%,9,T5&gt;99.9%,8,T5&gt;=85.5%,7,T5&gt;=72.5%,6,T5&gt;=65.5%,5,T5&gt;=55.5%,4,T5&gt;=45.5%,3,T5&gt;=35.5%,2,T5&gt;=20.5%,1,TRUE,0)</f>
        <v>0</v>
      </c>
      <c r="W5" s="269">
        <f t="shared" si="5"/>
        <v>15.75</v>
      </c>
      <c r="X5" s="186">
        <f>Donations!D100</f>
        <v>16</v>
      </c>
      <c r="Y5" s="269">
        <f t="shared" si="6"/>
        <v>0.15238095238095239</v>
      </c>
      <c r="Z5" s="252" cm="1">
        <f t="array" ref="Z5">_xlfn.IFS(Y5&gt;=0.26,11,Y5&gt;=0.21,10,Y5&gt;=0.16,9,Y5=0.15,8,Y5=0.14,7,Y5=0.13,6,Y5&gt;=0.11,5,Y5&gt;=0.09,4,Y5&gt;=0.07,3,Y5&gt;=0.04,2,Y5&gt;=0.01,1,TRUE,0)</f>
        <v>5</v>
      </c>
      <c r="AA5" s="8" t="str">
        <f>'Active &amp; Renewals'!F75</f>
        <v>EXCELLENT</v>
      </c>
      <c r="AB5" s="281" cm="1">
        <f t="array" ref="AB5">_xlfn.IFS(AA5="SUPERIOR",11,AA5="EXCELLENT",9,AA5="GOOD",7,AA5="LATE",5,AA5="NO GRADE",3,AA5="NA",2,AA5="NO REPORT",0)</f>
        <v>9</v>
      </c>
      <c r="AC5" s="8" t="str">
        <f>'Active &amp; Renewals'!H75</f>
        <v>EXCELLENT</v>
      </c>
      <c r="AD5" s="281" cm="1">
        <f t="array" ref="AD5">_xlfn.IFS(AC5="SUPERIOR",11,AC5="EXCELLENT",9,AC5="GOOD",7,AC5="LATE",5,AC5="NO GRADE",3,AC5="NA",2,AC5="NO REPORT",0)</f>
        <v>9</v>
      </c>
      <c r="AE5" s="282" t="str">
        <f>'Active &amp; Renewals'!J75</f>
        <v>NO REPORT</v>
      </c>
      <c r="AF5" s="281" cm="1">
        <f t="array" ref="AF5">_xlfn.IFS(AE5="SUPERIOR",11,AE5="EXCELLENT",9,AE5="GOOD",7,AE5="LATE",5,AE5="NO GRADE",3,AE5="NA",2,AE5="NO REPORT",0)</f>
        <v>0</v>
      </c>
      <c r="AG5" s="282" t="str">
        <f>'Active &amp; Renewals'!L75</f>
        <v>NO REPORT</v>
      </c>
      <c r="AH5" s="281" cm="1">
        <f t="array" ref="AH5">_xlfn.IFS(AG5="SUPERIOR",11,AG5="EXCELLENT",9,AG5="GOOD",7,AG5="LATE",5,AG5="NO GRADE",3,AG5="NA",2,AG5="NO REPORT",0)</f>
        <v>0</v>
      </c>
      <c r="AI5" s="252">
        <f>SUM(AB5+AD5+AF5+AH5)</f>
        <v>18</v>
      </c>
      <c r="AJ5" s="188" t="s">
        <v>654</v>
      </c>
      <c r="AK5" s="252" cm="1">
        <f t="array" ref="AK5">_xlfn.IFS(AJ5="8/8",11,AJ5="7/8",7,AJ5="6/8",6,AJ5="5/8",5,AJ5="4/8",4,AJ5="3/8",3,AJ5="2/8",2,AJ5="1/8",1,AJ5="0/8",0,TRUE,0)</f>
        <v>1</v>
      </c>
      <c r="AL5" s="189">
        <v>1</v>
      </c>
      <c r="AM5" s="300" cm="1">
        <f t="array" ref="AM5">_xlfn.IFS(AL5&gt;6,11,AL5&gt;=4,10,AL5&gt;=2,9,AL5=1,8,TRUE,0)</f>
        <v>8</v>
      </c>
      <c r="AN5" s="283">
        <f>Donations!E100</f>
        <v>0</v>
      </c>
      <c r="AO5" s="300" cm="1">
        <f t="array" ref="AO5">_xlfn.IFS(AN5&gt;125,11,AN5&gt;=116,10,AN5&gt;=101,9,AN5=100,8,AN5&gt;=86,7,AN5&gt;=71,6,AN5&gt;=61,5,AN5&gt;=51,4,AN5&gt;=41,3,AN5&gt;=26,2,AN5&gt;=1,1,TRUE,0)</f>
        <v>0</v>
      </c>
      <c r="AP5" s="190">
        <f>Donations!F100</f>
        <v>0</v>
      </c>
      <c r="AQ5" s="300" cm="1">
        <f t="array" ref="AQ5">_xlfn.IFS(AP5&gt;600,11,AP5&gt;=551,10,AP5&gt;=501,9,AP5=500,8,AP5&gt;=326,7,AP5&gt;=251,6,AP5&gt;=201,5,AP5&gt;=151,4,AP5&gt;=101,3,AP5&gt;=76,2,AP5&gt;=1,1,TRUE,0)</f>
        <v>0</v>
      </c>
      <c r="AR5" s="350"/>
      <c r="AS5" s="350"/>
      <c r="AT5" s="350"/>
      <c r="AU5" s="353"/>
      <c r="AV5" s="191">
        <v>0</v>
      </c>
      <c r="AW5" s="191">
        <v>1</v>
      </c>
      <c r="AX5" s="182">
        <v>1</v>
      </c>
      <c r="AY5" s="252">
        <f>+AV5+AW5+AX5</f>
        <v>2</v>
      </c>
      <c r="AZ5" s="192"/>
      <c r="BA5" s="181"/>
      <c r="BB5" s="193">
        <v>0</v>
      </c>
      <c r="BC5" s="252" cm="1">
        <f t="array" ref="BC5">_xlfn.IFS(BB5=0,11,TRUE,0)</f>
        <v>11</v>
      </c>
      <c r="BD5" s="183">
        <v>0</v>
      </c>
      <c r="BE5" s="183">
        <v>0</v>
      </c>
      <c r="BF5" s="183">
        <v>0</v>
      </c>
      <c r="BG5" s="252">
        <f t="shared" ref="BG5:BG11" si="11">SUM(BD5+BE5+BF5)</f>
        <v>0</v>
      </c>
      <c r="BH5" s="183">
        <v>0</v>
      </c>
      <c r="BI5" s="183">
        <v>0</v>
      </c>
      <c r="BJ5" s="194">
        <v>0</v>
      </c>
      <c r="BK5" s="252">
        <f t="shared" ref="BK5:BK11" si="12">SUM(BH5+BI5+BJ5)</f>
        <v>0</v>
      </c>
    </row>
    <row r="6" spans="1:63" ht="15.75" x14ac:dyDescent="0.25">
      <c r="A6" s="180" t="s">
        <v>113</v>
      </c>
      <c r="B6" s="252">
        <f t="shared" si="0"/>
        <v>143</v>
      </c>
      <c r="C6" s="253">
        <f t="shared" si="9"/>
        <v>1</v>
      </c>
      <c r="D6" s="13">
        <f>'Lodge Rank by District'!E3</f>
        <v>29</v>
      </c>
      <c r="E6" s="9" t="str">
        <f>'Active &amp; Renewals'!C80</f>
        <v>456</v>
      </c>
      <c r="F6" s="9" t="str">
        <f>'Active &amp; Renewals'!D80</f>
        <v>532</v>
      </c>
      <c r="G6" s="2">
        <f t="shared" si="1"/>
        <v>76</v>
      </c>
      <c r="H6" s="252" cm="1">
        <f t="array" ref="H6">_xlfn.IFS(G6&gt;20,11,G6&gt;11,10,G6&gt;2,9,G6&gt;0,8,G6&gt;-6,7,G6&gt;-11,6,G6&gt;-16,5,G6&gt;-21,4,G6&gt;-26,3,G6&gt;-31,2,G6&gt;-36,1,TRUE,0)</f>
        <v>11</v>
      </c>
      <c r="I6" s="113" t="str">
        <f>'Active &amp; Renewals'!E80</f>
        <v>88.38</v>
      </c>
      <c r="J6" s="252" cm="1">
        <f t="array" ref="J6">_xlfn.IFS(VALUE(I6)&gt;=90.5,11,VALUE(I6)&gt;=85.5,10,VALUE(I6)&gt;=80.5,9,VALUE(I6)&gt;=75.5,8,VALUE(I6)&gt;=74.5,7,VALUE(I6)&gt;=70.5,6,VALUE(I6)&gt;=64.5,5,VALUE(I6)&gt;=60.5,4,VALUE(I6)&gt;=54.5,3,VALUE(I6)&gt;=50.5,2,VALUE(I6)&gt;=44.5,1,TRUE,0)</f>
        <v>10</v>
      </c>
      <c r="K6" s="184">
        <v>2586</v>
      </c>
      <c r="L6" s="184">
        <f>Donations!B103</f>
        <v>1830</v>
      </c>
      <c r="M6" s="267">
        <f t="shared" si="2"/>
        <v>-756</v>
      </c>
      <c r="N6" s="268">
        <f t="shared" si="3"/>
        <v>0.70765661252900236</v>
      </c>
      <c r="O6" s="252" cm="1">
        <f t="array" ref="O6">_xlfn.IFS(N6&gt;=115.5%,11,N6&gt;=110.5%,10,N6&gt;=100.5%,9,N6&gt;=99.5%,8,N6&gt;=89.5%,7,N6&gt;=75.5%,6,N6&gt;=60.5%,5,N6&gt;=45.5%,4,N6&gt;=30.5%,3,N6&gt;=15.5%,2,N6&gt;=0.5%,1,TRUE,0)</f>
        <v>5</v>
      </c>
      <c r="P6" s="12">
        <f t="shared" si="4"/>
        <v>4.0131578947368425</v>
      </c>
      <c r="Q6" s="252" cm="1">
        <f t="array" ref="Q6">_xlfn.IFS(P6&gt;10,11,P6&gt;=8.01,10,P6&gt;=6.01,9,P6&gt;=4.01,8,P6=4,7,P6&gt;=3.01,6,P6&gt;=2.01,5,P6&gt;=1.51,4,P6&gt;=1.01,3,P6&gt;=0.51,2,P6&gt;=0.01,1,TRUE,0)</f>
        <v>8</v>
      </c>
      <c r="R6" s="269">
        <v>1368</v>
      </c>
      <c r="S6" s="186">
        <f>Donations!C103</f>
        <v>1150</v>
      </c>
      <c r="T6" s="279">
        <f t="shared" si="10"/>
        <v>2.5219298245614037</v>
      </c>
      <c r="U6" s="10">
        <f t="shared" ref="U6:U11" si="13">+S6-R6</f>
        <v>-218</v>
      </c>
      <c r="V6" s="252" cm="1">
        <f t="array" ref="V6">_xlfn.IFS(T6&gt;=120%,11,T6&gt;=110.5%,10,T6&gt;=100.5%,9,T6&gt;99.9%,8,T6&gt;=85.5%,7,T6&gt;=72.5%,6,T6&gt;=65.5%,5,T6&gt;=55.5%,4,T6&gt;=45.5%,3,T6&gt;=35.5%,2,T6&gt;=20.5%,1,TRUE,0)</f>
        <v>11</v>
      </c>
      <c r="W6" s="269">
        <f t="shared" si="5"/>
        <v>68.399999999999991</v>
      </c>
      <c r="X6" s="186">
        <f>Donations!D103</f>
        <v>100</v>
      </c>
      <c r="Y6" s="269">
        <f t="shared" si="6"/>
        <v>0.21929824561403508</v>
      </c>
      <c r="Z6" s="252" cm="1">
        <f t="array" ref="Z6">_xlfn.IFS(Y6&gt;=0.26,11,Y6&gt;=0.21,10,Y6&gt;=0.16,9,Y6=0.15,8,Y6=0.14,7,Y6=0.13,6,Y6&gt;=0.11,5,Y6&gt;=0.09,4,Y6&gt;=0.07,3,Y6&gt;=0.04,2,Y6&gt;=0.01,1,TRUE,0)</f>
        <v>10</v>
      </c>
      <c r="AA6" s="8" t="str">
        <f>'Active &amp; Renewals'!F80</f>
        <v>SUPERIOR</v>
      </c>
      <c r="AB6" s="281" cm="1">
        <f t="array" ref="AB6">_xlfn.IFS(AA6="SUPERIOR",11,AA6="EXCELLENT",9,AA6="GOOD",7,AA6="LATE",5,AA6="NO GRADE",3,AA6="NA",2,AA6="NO REPORT",0)</f>
        <v>11</v>
      </c>
      <c r="AC6" s="8" t="str">
        <f>'Active &amp; Renewals'!H80</f>
        <v>SUPERIOR</v>
      </c>
      <c r="AD6" s="281" cm="1">
        <f t="array" ref="AD6">_xlfn.IFS(AC6="SUPERIOR",11,AC6="EXCELLENT",9,AC6="GOOD",7,AC6="LATE",5,AC6="NO GRADE",3,AC6="NA",2,AC6="NO REPORT",0)</f>
        <v>11</v>
      </c>
      <c r="AE6" s="282" t="str">
        <f>'Active &amp; Renewals'!J80</f>
        <v>NO REPORT</v>
      </c>
      <c r="AF6" s="281" cm="1">
        <f t="array" ref="AF6">_xlfn.IFS(AE6="SUPERIOR",11,AE6="EXCELLENT",9,AE6="GOOD",7,AE6="LATE",5,AE6="NO GRADE",3,AE6="NA",2,AE6="NO REPORT",0)</f>
        <v>0</v>
      </c>
      <c r="AG6" s="282" t="str">
        <f>'Active &amp; Renewals'!L80</f>
        <v>NO REPORT</v>
      </c>
      <c r="AH6" s="281" cm="1">
        <f t="array" ref="AH6">_xlfn.IFS(AG6="SUPERIOR",11,AG6="EXCELLENT",9,AG6="GOOD",7,AG6="LATE",5,AG6="NO GRADE",3,AG6="NA",2,AG6="NO REPORT",0)</f>
        <v>0</v>
      </c>
      <c r="AI6" s="252">
        <f t="shared" ref="AI6:AI11" si="14">SUM(AB6+AD6+AF6+AH6)</f>
        <v>22</v>
      </c>
      <c r="AJ6" s="188" t="s">
        <v>655</v>
      </c>
      <c r="AK6" s="252" cm="1">
        <f t="array" ref="AK6">_xlfn.IFS(AJ6="8/8",11,AJ6="7/8",7,AJ6="6/8",6,AJ6="5/8",5,AJ6="4/8",4,AJ6="3/8",3,AJ6="2/8",2,AJ6="1/8",1,AJ6="0/8",0,TRUE,0)</f>
        <v>11</v>
      </c>
      <c r="AL6" s="189">
        <v>9</v>
      </c>
      <c r="AM6" s="300" cm="1">
        <f t="array" ref="AM6">_xlfn.IFS(AL6&gt;6,11,AL6&gt;=4,10,AL6&gt;=2,9,AL6=1,8,TRUE,0)</f>
        <v>11</v>
      </c>
      <c r="AN6" s="280">
        <f>Donations!E103</f>
        <v>0</v>
      </c>
      <c r="AO6" s="300" cm="1">
        <f t="array" ref="AO6">_xlfn.IFS(AN6&gt;125,11,AN6&gt;=116,10,AN6&gt;=101,9,AN6=100,8,AN6&gt;=86,7,AN6&gt;=71,6,AN6&gt;=61,5,AN6&gt;=51,4,AN6&gt;=41,3,AN6&gt;=26,2,AN6&gt;=1,1,TRUE,0)</f>
        <v>0</v>
      </c>
      <c r="AP6" s="190">
        <f>Donations!F103</f>
        <v>50</v>
      </c>
      <c r="AQ6" s="300" cm="1">
        <f t="array" ref="AQ6">_xlfn.IFS(AP6&gt;600,11,AP6&gt;=551,10,AP6&gt;=501,9,AP6=500,8,AP6&gt;=326,7,AP6&gt;=251,6,AP6&gt;=201,5,AP6&gt;=151,4,AP6&gt;=101,3,AP6&gt;=76,2,AP6&gt;=1,1,TRUE,0)</f>
        <v>1</v>
      </c>
      <c r="AR6" s="350"/>
      <c r="AS6" s="350"/>
      <c r="AT6" s="350"/>
      <c r="AU6" s="353"/>
      <c r="AV6" s="191">
        <v>4</v>
      </c>
      <c r="AW6" s="191">
        <v>3</v>
      </c>
      <c r="AX6" s="182">
        <v>5</v>
      </c>
      <c r="AY6" s="252">
        <f t="shared" si="8"/>
        <v>12</v>
      </c>
      <c r="AZ6" s="192"/>
      <c r="BA6" s="181"/>
      <c r="BB6" s="193">
        <v>0</v>
      </c>
      <c r="BC6" s="252" cm="1">
        <f t="array" ref="BC6">_xlfn.IFS(BB6=0,11,TRUE,0)</f>
        <v>11</v>
      </c>
      <c r="BD6" s="183">
        <v>3</v>
      </c>
      <c r="BE6" s="183">
        <v>4</v>
      </c>
      <c r="BF6" s="183">
        <v>4</v>
      </c>
      <c r="BG6" s="252">
        <f t="shared" si="11"/>
        <v>11</v>
      </c>
      <c r="BH6" s="183">
        <v>3</v>
      </c>
      <c r="BI6" s="183">
        <v>3</v>
      </c>
      <c r="BJ6" s="194">
        <v>3</v>
      </c>
      <c r="BK6" s="252">
        <f t="shared" si="12"/>
        <v>9</v>
      </c>
    </row>
    <row r="7" spans="1:63" ht="15.75" x14ac:dyDescent="0.25">
      <c r="A7" s="180" t="s">
        <v>112</v>
      </c>
      <c r="B7" s="252">
        <f t="shared" si="0"/>
        <v>128</v>
      </c>
      <c r="C7" s="253">
        <f t="shared" si="9"/>
        <v>3</v>
      </c>
      <c r="D7" s="13">
        <f>'Lodge Rank by District'!E4</f>
        <v>49</v>
      </c>
      <c r="E7" s="9" t="str">
        <f>'Active &amp; Renewals'!C83</f>
        <v>284</v>
      </c>
      <c r="F7" s="9" t="str">
        <f>'Active &amp; Renewals'!D83</f>
        <v>263</v>
      </c>
      <c r="G7" s="2">
        <f t="shared" si="1"/>
        <v>-21</v>
      </c>
      <c r="H7" s="252" cm="1">
        <f t="array" ref="H7">_xlfn.IFS(G7&gt;20,11,G7&gt;11,10,G7&gt;2,9,G7&gt;0,8,G7&gt;-6,7,G7&gt;-11,6,G7&gt;-16,5,G7&gt;-21,4,G7&gt;-26,3,G7&gt;-31,2,G7&gt;-36,1,TRUE,0)</f>
        <v>3</v>
      </c>
      <c r="I7" s="113" t="str">
        <f>'Active &amp; Renewals'!E83</f>
        <v>80.57</v>
      </c>
      <c r="J7" s="252" cm="1">
        <f t="array" ref="J7">_xlfn.IFS(VALUE(I7)&gt;=90.5,11,VALUE(I7)&gt;=85.5,10,VALUE(I7)&gt;=80.5,9,VALUE(I7)&gt;=75.5,8,VALUE(I7)&gt;=74.5,7,VALUE(I7)&gt;=70.5,6,VALUE(I7)&gt;=64.5,5,VALUE(I7)&gt;=60.5,4,VALUE(I7)&gt;=54.5,3,VALUE(I7)&gt;=50.5,2,VALUE(I7)&gt;=44.5,1,TRUE,0)</f>
        <v>9</v>
      </c>
      <c r="K7" s="195">
        <v>5373</v>
      </c>
      <c r="L7" s="195">
        <f>Donations!B26</f>
        <v>5483</v>
      </c>
      <c r="M7" s="267">
        <f t="shared" si="2"/>
        <v>110</v>
      </c>
      <c r="N7" s="268">
        <f t="shared" si="3"/>
        <v>1.0204727340405733</v>
      </c>
      <c r="O7" s="252" cm="1">
        <f t="array" ref="O7">_xlfn.IFS(N7&gt;=115.5%,11,N7&gt;=110.5%,10,N7&gt;=100.5%,9,N7&gt;=99.5%,8,N7&gt;=89.5%,7,N7&gt;=75.5%,6,N7&gt;=60.5%,5,N7&gt;=45.5%,4,N7&gt;=30.5%,3,N7&gt;=15.5%,2,N7&gt;=0.5%,1,TRUE,0)</f>
        <v>9</v>
      </c>
      <c r="P7" s="12">
        <f t="shared" si="4"/>
        <v>19.306338028169016</v>
      </c>
      <c r="Q7" s="252" cm="1">
        <f t="array" ref="Q7">_xlfn.IFS(P7&gt;10,11,P7&gt;=8.01,10,P7&gt;=6.01,9,P7&gt;=4.01,8,P7=4,7,P7&gt;=3.01,6,P7&gt;=2.01,5,P7&gt;=1.51,4,P7&gt;=1.01,3,P7&gt;=0.51,2,P7&gt;=0.01,1,TRUE,0)</f>
        <v>11</v>
      </c>
      <c r="R7" s="269">
        <v>852</v>
      </c>
      <c r="S7" s="186">
        <f>Donations!C26</f>
        <v>1400</v>
      </c>
      <c r="T7" s="279">
        <f t="shared" si="10"/>
        <v>4.929577464788732</v>
      </c>
      <c r="U7" s="10">
        <f t="shared" si="13"/>
        <v>548</v>
      </c>
      <c r="V7" s="252" cm="1">
        <f t="array" ref="V7">_xlfn.IFS(T7&gt;=120%,11,T7&gt;=110.5%,10,T7&gt;=100.5%,9,T7&gt;99.9%,8,T7&gt;=85.5%,7,T7&gt;=72.5%,6,T7&gt;=65.5%,5,T7&gt;=55.5%,4,T7&gt;=45.5%,3,T7&gt;=35.5%,2,T7&gt;=20.5%,1,TRUE,0)</f>
        <v>11</v>
      </c>
      <c r="W7" s="269">
        <f t="shared" si="5"/>
        <v>42.6</v>
      </c>
      <c r="X7" s="186">
        <f>Donations!D26</f>
        <v>1300</v>
      </c>
      <c r="Y7" s="269">
        <f t="shared" si="6"/>
        <v>4.577464788732394</v>
      </c>
      <c r="Z7" s="252" cm="1">
        <f t="array" ref="Z7">_xlfn.IFS(Y7&gt;=0.26,11,Y7&gt;=0.21,10,Y7&gt;=0.16,9,Y7=0.15,8,Y7=0.14,7,Y7=0.13,6,Y7&gt;=0.11,5,Y7&gt;=0.09,4,Y7&gt;=0.07,3,Y7&gt;=0.04,2,Y7&gt;=0.01,1,TRUE,0)</f>
        <v>11</v>
      </c>
      <c r="AA7" s="8" t="str">
        <f>'Active &amp; Renewals'!F83</f>
        <v>SUPERIOR</v>
      </c>
      <c r="AB7" s="281" cm="1">
        <f t="array" ref="AB7">_xlfn.IFS(AA7="SUPERIOR",11,AA7="EXCELLENT",9,AA7="GOOD",7,AA7="LATE",5,AA7="NO GRADE",3,AA7="NA",2,AA7="NO REPORT",0)</f>
        <v>11</v>
      </c>
      <c r="AC7" s="8" t="str">
        <f>'Active &amp; Renewals'!H83</f>
        <v>EXCELLENT</v>
      </c>
      <c r="AD7" s="281" cm="1">
        <f t="array" ref="AD7">_xlfn.IFS(AC7="SUPERIOR",11,AC7="EXCELLENT",9,AC7="GOOD",7,AC7="LATE",5,AC7="NO GRADE",3,AC7="NA",2,AC7="NO REPORT",0)</f>
        <v>9</v>
      </c>
      <c r="AE7" s="284" t="str">
        <f>'Active &amp; Renewals'!J83</f>
        <v>NO REPORT</v>
      </c>
      <c r="AF7" s="281" cm="1">
        <f t="array" ref="AF7">_xlfn.IFS(AE7="SUPERIOR",11,AE7="EXCELLENT",9,AE7="GOOD",7,AE7="LATE",5,AE7="NO GRADE",3,AE7="NA",2,AE7="NO REPORT",0)</f>
        <v>0</v>
      </c>
      <c r="AG7" s="284" t="str">
        <f>'Active &amp; Renewals'!L83</f>
        <v>NO REPORT</v>
      </c>
      <c r="AH7" s="281" cm="1">
        <f t="array" ref="AH7">_xlfn.IFS(AG7="SUPERIOR",11,AG7="EXCELLENT",9,AG7="GOOD",7,AG7="LATE",5,AG7="NO GRADE",3,AG7="NA",2,AG7="NO REPORT",0)</f>
        <v>0</v>
      </c>
      <c r="AI7" s="252">
        <f t="shared" si="14"/>
        <v>20</v>
      </c>
      <c r="AJ7" s="188" t="s">
        <v>656</v>
      </c>
      <c r="AK7" s="252" cm="1">
        <f t="array" ref="AK7">_xlfn.IFS(AJ7="8/8",11,AJ7="7/8",7,AJ7="6/8",6,AJ7="5/8",5,AJ7="4/8",4,AJ7="3/8",3,AJ7="2/8",2,AJ7="1/8",1,AJ7="0/8",0,TRUE,0)</f>
        <v>7</v>
      </c>
      <c r="AL7" s="189">
        <v>0</v>
      </c>
      <c r="AM7" s="300" cm="1">
        <f t="array" ref="AM7">_xlfn.IFS(AL7&gt;6,11,AL7&gt;=4,10,AL7&gt;=2,9,AL7=1,8,TRUE,0)</f>
        <v>0</v>
      </c>
      <c r="AN7" s="283">
        <f>Donations!E26</f>
        <v>200</v>
      </c>
      <c r="AO7" s="300" cm="1">
        <f t="array" ref="AO7">_xlfn.IFS(AN7&gt;125,11,AN7&gt;=116,10,AN7&gt;=101,9,AN7=100,8,AN7&gt;=86,7,AN7&gt;=71,6,AN7&gt;=61,5,AN7&gt;=51,4,AN7&gt;=41,3,AN7&gt;=26,2,AN7&gt;=1,1,TRUE,0)</f>
        <v>11</v>
      </c>
      <c r="AP7" s="190">
        <f>Donations!F26</f>
        <v>100</v>
      </c>
      <c r="AQ7" s="300" cm="1">
        <f t="array" ref="AQ7">_xlfn.IFS(AP7&gt;600,11,AP7&gt;=551,10,AP7&gt;=501,9,AP7=500,8,AP7&gt;=326,7,AP7&gt;=251,6,AP7&gt;=201,5,AP7&gt;=151,4,AP7&gt;=101,3,AP7&gt;=76,2,AP7&gt;=1,1,TRUE,0)</f>
        <v>2</v>
      </c>
      <c r="AR7" s="350"/>
      <c r="AS7" s="350"/>
      <c r="AT7" s="350"/>
      <c r="AU7" s="353"/>
      <c r="AV7" s="191">
        <v>5</v>
      </c>
      <c r="AW7" s="191">
        <v>5</v>
      </c>
      <c r="AX7" s="187">
        <v>4</v>
      </c>
      <c r="AY7" s="252">
        <f t="shared" si="8"/>
        <v>14</v>
      </c>
      <c r="AZ7" s="192"/>
      <c r="BA7" s="181"/>
      <c r="BB7" s="193">
        <v>0</v>
      </c>
      <c r="BC7" s="252" cm="1">
        <f t="array" ref="BC7">_xlfn.IFS(BB7=0,11,TRUE,0)</f>
        <v>11</v>
      </c>
      <c r="BD7" s="183">
        <v>0</v>
      </c>
      <c r="BE7" s="183">
        <v>4</v>
      </c>
      <c r="BF7" s="183">
        <v>0</v>
      </c>
      <c r="BG7" s="252">
        <f t="shared" si="11"/>
        <v>4</v>
      </c>
      <c r="BH7" s="183">
        <v>0</v>
      </c>
      <c r="BI7" s="183">
        <v>3</v>
      </c>
      <c r="BJ7" s="194">
        <v>2</v>
      </c>
      <c r="BK7" s="252">
        <f t="shared" si="12"/>
        <v>5</v>
      </c>
    </row>
    <row r="8" spans="1:63" ht="15.75" x14ac:dyDescent="0.25">
      <c r="A8" s="180" t="s">
        <v>111</v>
      </c>
      <c r="B8" s="252">
        <f t="shared" si="0"/>
        <v>71</v>
      </c>
      <c r="C8" s="253">
        <f t="shared" si="9"/>
        <v>7</v>
      </c>
      <c r="D8" s="13">
        <f>'Lodge Rank by District'!E5</f>
        <v>100</v>
      </c>
      <c r="E8" s="9" t="str">
        <f>'Active &amp; Renewals'!C84</f>
        <v>328</v>
      </c>
      <c r="F8" s="9" t="str">
        <f>'Active &amp; Renewals'!D84</f>
        <v>326</v>
      </c>
      <c r="G8" s="2">
        <f t="shared" si="1"/>
        <v>-2</v>
      </c>
      <c r="H8" s="252" cm="1">
        <f t="array" ref="H8">_xlfn.IFS(G8&gt;20,11,G8&gt;11,10,G8&gt;2,9,G8&gt;0,8,G8&gt;-6,7,G8&gt;-11,6,G8&gt;-16,5,G8&gt;-21,4,G8&gt;-26,3,G8&gt;-31,2,G8&gt;-36,1,TRUE,0)</f>
        <v>7</v>
      </c>
      <c r="I8" s="113" t="str">
        <f>'Active &amp; Renewals'!E84</f>
        <v>86.11</v>
      </c>
      <c r="J8" s="252" cm="1">
        <f t="array" ref="J8">_xlfn.IFS(VALUE(I8)&gt;=90.5,11,VALUE(I8)&gt;=85.5,10,VALUE(I8)&gt;=80.5,9,VALUE(I8)&gt;=75.5,8,VALUE(I8)&gt;=74.5,7,VALUE(I8)&gt;=70.5,6,VALUE(I8)&gt;=64.5,5,VALUE(I8)&gt;=60.5,4,VALUE(I8)&gt;=54.5,3,VALUE(I8)&gt;=50.5,2,VALUE(I8)&gt;=44.5,1,TRUE,0)</f>
        <v>10</v>
      </c>
      <c r="K8" s="195">
        <v>180</v>
      </c>
      <c r="L8" s="195">
        <f>Donations!B9</f>
        <v>829</v>
      </c>
      <c r="M8" s="267">
        <f t="shared" si="2"/>
        <v>649</v>
      </c>
      <c r="N8" s="268">
        <f t="shared" si="3"/>
        <v>4.6055555555555552</v>
      </c>
      <c r="O8" s="252" cm="1">
        <f t="array" ref="O8">_xlfn.IFS(N8&gt;=115.5%,11,N8&gt;=110.5%,10,N8&gt;=100.5%,9,N8&gt;=99.5%,8,N8&gt;=89.5%,7,N8&gt;=75.5%,6,N8&gt;=60.5%,5,N8&gt;=45.5%,4,N8&gt;=30.5%,3,N8&gt;=15.5%,2,N8&gt;=0.5%,1,TRUE,0)</f>
        <v>11</v>
      </c>
      <c r="P8" s="12">
        <f t="shared" si="4"/>
        <v>2.5274390243902438</v>
      </c>
      <c r="Q8" s="252" cm="1">
        <f t="array" ref="Q8">_xlfn.IFS(P8&gt;10,11,P8&gt;=8.01,10,P8&gt;=6.01,9,P8&gt;=4.01,8,P8=4,7,P8&gt;=3.01,6,P8&gt;=2.01,5,P8&gt;=1.51,4,P8&gt;=1.01,3,P8&gt;=0.51,2,P8&gt;=0.01,1,TRUE,0)</f>
        <v>5</v>
      </c>
      <c r="R8" s="269">
        <v>984</v>
      </c>
      <c r="S8" s="186">
        <f>Donations!C9</f>
        <v>100</v>
      </c>
      <c r="T8" s="279">
        <f t="shared" si="10"/>
        <v>0.3048780487804878</v>
      </c>
      <c r="U8" s="10">
        <f t="shared" si="13"/>
        <v>-884</v>
      </c>
      <c r="V8" s="252" cm="1">
        <f t="array" ref="V8">_xlfn.IFS(T8&gt;=120%,11,T8&gt;=110.5%,10,T8&gt;=100.5%,9,T8&gt;99.9%,8,T8&gt;=85.5%,7,T8&gt;=72.5%,6,T8&gt;=65.5%,5,T8&gt;=55.5%,4,T8&gt;=45.5%,3,T8&gt;=35.5%,2,T8&gt;=20.5%,1,TRUE,0)</f>
        <v>1</v>
      </c>
      <c r="W8" s="269">
        <f t="shared" si="5"/>
        <v>49.199999999999996</v>
      </c>
      <c r="X8" s="186">
        <f>Donations!D9</f>
        <v>0</v>
      </c>
      <c r="Y8" s="269">
        <f t="shared" si="6"/>
        <v>0</v>
      </c>
      <c r="Z8" s="252" cm="1">
        <f t="array" ref="Z8">_xlfn.IFS(Y8&gt;=0.26,11,Y8&gt;=0.21,10,Y8&gt;=0.16,9,Y8=0.15,8,Y8=0.14,7,Y8=0.13,6,Y8&gt;=0.11,5,Y8&gt;=0.09,4,Y8&gt;=0.07,3,Y8&gt;=0.04,2,Y8&gt;=0.01,1,TRUE,0)</f>
        <v>0</v>
      </c>
      <c r="AA8" s="8" t="str">
        <f>'Active &amp; Renewals'!F84</f>
        <v>EXCELLENT</v>
      </c>
      <c r="AB8" s="281" cm="1">
        <f t="array" ref="AB8">_xlfn.IFS(AA8="SUPERIOR",11,AA8="EXCELLENT",9,AA8="GOOD",7,AA8="LATE",5,AA8="NO GRADE",3,AA8="NA",2,AA8="NO REPORT",0)</f>
        <v>9</v>
      </c>
      <c r="AC8" s="8" t="str">
        <f>'Active &amp; Renewals'!H84</f>
        <v>NO GRADE</v>
      </c>
      <c r="AD8" s="281" cm="1">
        <f t="array" ref="AD8">_xlfn.IFS(AC8="SUPERIOR",11,AC8="EXCELLENT",9,AC8="GOOD",7,AC8="LATE",5,AC8="NO GRADE",3,AC8="NA",2,AC8="NO REPORT",0)</f>
        <v>3</v>
      </c>
      <c r="AE8" s="282" t="str">
        <f>'Active &amp; Renewals'!J84</f>
        <v>NO REPORT</v>
      </c>
      <c r="AF8" s="281" cm="1">
        <f t="array" ref="AF8">_xlfn.IFS(AE8="SUPERIOR",11,AE8="EXCELLENT",9,AE8="GOOD",7,AE8="LATE",5,AE8="NO GRADE",3,AE8="NA",2,AE8="NO REPORT",0)</f>
        <v>0</v>
      </c>
      <c r="AG8" s="282" t="str">
        <f>'Active &amp; Renewals'!L84</f>
        <v>NO REPORT</v>
      </c>
      <c r="AH8" s="281" cm="1">
        <f t="array" ref="AH8">_xlfn.IFS(AG8="SUPERIOR",11,AG8="EXCELLENT",9,AG8="GOOD",7,AG8="LATE",5,AG8="NO GRADE",3,AG8="NA",2,AG8="NO REPORT",0)</f>
        <v>0</v>
      </c>
      <c r="AI8" s="252">
        <f t="shared" si="14"/>
        <v>12</v>
      </c>
      <c r="AJ8" s="188" t="s">
        <v>654</v>
      </c>
      <c r="AK8" s="252" cm="1">
        <f t="array" ref="AK8">_xlfn.IFS(AJ8="8/8",11,AJ8="7/8",7,AJ8="6/8",6,AJ8="5/8",5,AJ8="4/8",4,AJ8="3/8",3,AJ8="2/8",2,AJ8="1/8",1,AJ8="0/8",0,TRUE,0)</f>
        <v>1</v>
      </c>
      <c r="AL8" s="189">
        <v>1</v>
      </c>
      <c r="AM8" s="300" cm="1">
        <f t="array" ref="AM8">_xlfn.IFS(AL8&gt;6,11,AL8&gt;=4,10,AL8&gt;=2,9,AL8=1,8,TRUE,0)</f>
        <v>8</v>
      </c>
      <c r="AN8" s="193">
        <f>Donations!E9</f>
        <v>100</v>
      </c>
      <c r="AO8" s="300" cm="1">
        <f t="array" ref="AO8">_xlfn.IFS(AN8&gt;125,11,AN8&gt;=116,10,AN8&gt;=101,9,AN8=100,8,AN8&gt;=86,7,AN8&gt;=71,6,AN8&gt;=61,5,AN8&gt;=51,4,AN8&gt;=41,3,AN8&gt;=26,2,AN8&gt;=1,1,TRUE,0)</f>
        <v>8</v>
      </c>
      <c r="AP8" s="190">
        <f>Donations!F9</f>
        <v>0</v>
      </c>
      <c r="AQ8" s="300" cm="1">
        <f t="array" ref="AQ8">_xlfn.IFS(AP8&gt;600,11,AP8&gt;=551,10,AP8&gt;=501,9,AP8=500,8,AP8&gt;=326,7,AP8&gt;=251,6,AP8&gt;=201,5,AP8&gt;=151,4,AP8&gt;=101,3,AP8&gt;=76,2,AP8&gt;=1,1,TRUE,0)</f>
        <v>0</v>
      </c>
      <c r="AR8" s="350"/>
      <c r="AS8" s="350"/>
      <c r="AT8" s="350"/>
      <c r="AU8" s="353"/>
      <c r="AV8" s="191">
        <v>1</v>
      </c>
      <c r="AW8" s="191">
        <v>1</v>
      </c>
      <c r="AX8" s="187">
        <v>2</v>
      </c>
      <c r="AY8" s="252">
        <f t="shared" si="8"/>
        <v>4</v>
      </c>
      <c r="AZ8" s="192"/>
      <c r="BA8" s="181"/>
      <c r="BB8" s="193">
        <v>1674.5</v>
      </c>
      <c r="BC8" s="252" cm="1">
        <f t="array" ref="BC8">_xlfn.IFS(BB8=0,11,TRUE,0)</f>
        <v>0</v>
      </c>
      <c r="BD8" s="183">
        <v>0</v>
      </c>
      <c r="BE8" s="183">
        <v>3</v>
      </c>
      <c r="BF8" s="183">
        <v>1</v>
      </c>
      <c r="BG8" s="252">
        <f t="shared" si="11"/>
        <v>4</v>
      </c>
      <c r="BH8" s="183">
        <v>0</v>
      </c>
      <c r="BI8" s="183">
        <v>0</v>
      </c>
      <c r="BJ8" s="194">
        <v>0</v>
      </c>
      <c r="BK8" s="252">
        <f t="shared" si="12"/>
        <v>0</v>
      </c>
    </row>
    <row r="9" spans="1:63" ht="15.75" x14ac:dyDescent="0.25">
      <c r="A9" s="180" t="s">
        <v>110</v>
      </c>
      <c r="B9" s="252">
        <f t="shared" si="0"/>
        <v>118</v>
      </c>
      <c r="C9" s="253">
        <f t="shared" si="9"/>
        <v>4</v>
      </c>
      <c r="D9" s="13">
        <f>'Lodge Rank by District'!E6</f>
        <v>65</v>
      </c>
      <c r="E9" s="9" t="str">
        <f>'Active &amp; Renewals'!C94</f>
        <v>234</v>
      </c>
      <c r="F9" s="9" t="str">
        <f>'Active &amp; Renewals'!D94</f>
        <v>225</v>
      </c>
      <c r="G9" s="2">
        <f t="shared" si="1"/>
        <v>-9</v>
      </c>
      <c r="H9" s="252" cm="1">
        <f t="array" ref="H9">_xlfn.IFS(G9&gt;20,11,G9&gt;11,10,G9&gt;2,9,G9&gt;0,8,G9&gt;-6,7,G9&gt;-11,6,G9&gt;-16,5,G9&gt;-21,4,G9&gt;-26,3,G9&gt;-31,2,G9&gt;-36,1,TRUE,0)</f>
        <v>6</v>
      </c>
      <c r="I9" s="113" t="str">
        <f>'Active &amp; Renewals'!E94</f>
        <v>81.47</v>
      </c>
      <c r="J9" s="252" cm="1">
        <f t="array" ref="J9">_xlfn.IFS(VALUE(I9)&gt;=90.5,11,VALUE(I9)&gt;=85.5,10,VALUE(I9)&gt;=80.5,9,VALUE(I9)&gt;=75.5,8,VALUE(I9)&gt;=74.5,7,VALUE(I9)&gt;=70.5,6,VALUE(I9)&gt;=64.5,5,VALUE(I9)&gt;=60.5,4,VALUE(I9)&gt;=54.5,3,VALUE(I9)&gt;=50.5,2,VALUE(I9)&gt;=44.5,1,TRUE,0)</f>
        <v>9</v>
      </c>
      <c r="K9" s="184">
        <v>1120</v>
      </c>
      <c r="L9" s="184">
        <f>Donations!B83</f>
        <v>939</v>
      </c>
      <c r="M9" s="267">
        <f t="shared" si="2"/>
        <v>-181</v>
      </c>
      <c r="N9" s="268">
        <f t="shared" si="3"/>
        <v>0.83839285714285716</v>
      </c>
      <c r="O9" s="252" cm="1">
        <f t="array" ref="O9">_xlfn.IFS(N9&gt;=115.5%,11,N9&gt;=110.5%,10,N9&gt;=100.5%,9,N9&gt;=99.5%,8,N9&gt;=89.5%,7,N9&gt;=75.5%,6,N9&gt;=60.5%,5,N9&gt;=45.5%,4,N9&gt;=30.5%,3,N9&gt;=15.5%,2,N9&gt;=0.5%,1,TRUE,0)</f>
        <v>6</v>
      </c>
      <c r="P9" s="12">
        <f t="shared" si="4"/>
        <v>4.0128205128205128</v>
      </c>
      <c r="Q9" s="252" cm="1">
        <f t="array" ref="Q9">_xlfn.IFS(P9&gt;10,11,P9&gt;=8.01,10,P9&gt;=6.01,9,P9&gt;=4.01,8,P9=4,7,P9&gt;=3.01,6,P9&gt;=2.01,5,P9&gt;=1.51,4,P9&gt;=1.01,3,P9&gt;=0.51,2,P9&gt;=0.01,1,TRUE,0)</f>
        <v>8</v>
      </c>
      <c r="R9" s="269">
        <v>702</v>
      </c>
      <c r="S9" s="186">
        <f>Donations!C83</f>
        <v>550</v>
      </c>
      <c r="T9" s="279">
        <f t="shared" si="10"/>
        <v>2.3504273504273505</v>
      </c>
      <c r="U9" s="10">
        <f t="shared" si="13"/>
        <v>-152</v>
      </c>
      <c r="V9" s="252" cm="1">
        <f t="array" ref="V9">_xlfn.IFS(T9&gt;=120%,11,T9&gt;=110.5%,10,T9&gt;=100.5%,9,T9&gt;99.9%,8,T9&gt;=85.5%,7,T9&gt;=72.5%,6,T9&gt;=65.5%,5,T9&gt;=55.5%,4,T9&gt;=45.5%,3,T9&gt;=35.5%,2,T9&gt;=20.5%,1,TRUE,0)</f>
        <v>11</v>
      </c>
      <c r="W9" s="269">
        <f t="shared" si="5"/>
        <v>35.1</v>
      </c>
      <c r="X9" s="186">
        <f>Donations!D83</f>
        <v>50</v>
      </c>
      <c r="Y9" s="269">
        <f t="shared" si="6"/>
        <v>0.21367521367521367</v>
      </c>
      <c r="Z9" s="252" cm="1">
        <f t="array" ref="Z9">_xlfn.IFS(Y9&gt;=0.26,11,Y9&gt;=0.21,10,Y9&gt;=0.16,9,Y9=0.15,8,Y9=0.14,7,Y9=0.13,6,Y9&gt;=0.11,5,Y9&gt;=0.09,4,Y9&gt;=0.07,3,Y9&gt;=0.04,2,Y9&gt;=0.01,1,TRUE,0)</f>
        <v>10</v>
      </c>
      <c r="AA9" s="8" t="str">
        <f>'Active &amp; Renewals'!F94</f>
        <v>GOOD</v>
      </c>
      <c r="AB9" s="281" cm="1">
        <f t="array" ref="AB9">_xlfn.IFS(AA9="SUPERIOR",11,AA9="EXCELLENT",9,AA9="GOOD",7,AA9="LATE",5,AA9="NO GRADE",3,AA9="NA",2,AA9="NO REPORT",0)</f>
        <v>7</v>
      </c>
      <c r="AC9" s="8" t="str">
        <f>'Active &amp; Renewals'!H94</f>
        <v>EXCELLENT</v>
      </c>
      <c r="AD9" s="281" cm="1">
        <f t="array" ref="AD9">_xlfn.IFS(AC9="SUPERIOR",11,AC9="EXCELLENT",9,AC9="GOOD",7,AC9="LATE",5,AC9="NO GRADE",3,AC9="NA",2,AC9="NO REPORT",0)</f>
        <v>9</v>
      </c>
      <c r="AE9" s="284" t="str">
        <f>'Active &amp; Renewals'!J94</f>
        <v>NO REPORT</v>
      </c>
      <c r="AF9" s="281" cm="1">
        <f t="array" ref="AF9">_xlfn.IFS(AE9="SUPERIOR",11,AE9="EXCELLENT",9,AE9="GOOD",7,AE9="LATE",5,AE9="NO GRADE",3,AE9="NA",2,AE9="NO REPORT",0)</f>
        <v>0</v>
      </c>
      <c r="AG9" s="284" t="str">
        <f>'Active &amp; Renewals'!L94</f>
        <v>NO REPORT</v>
      </c>
      <c r="AH9" s="281" cm="1">
        <f t="array" ref="AH9">_xlfn.IFS(AG9="SUPERIOR",11,AG9="EXCELLENT",9,AG9="GOOD",7,AG9="LATE",5,AG9="NO GRADE",3,AG9="NA",2,AG9="NO REPORT",0)</f>
        <v>0</v>
      </c>
      <c r="AI9" s="252">
        <f t="shared" si="14"/>
        <v>16</v>
      </c>
      <c r="AJ9" s="188" t="s">
        <v>657</v>
      </c>
      <c r="AK9" s="252" cm="1">
        <f t="array" ref="AK9">_xlfn.IFS(AJ9="8/8",11,AJ9="7/8",7,AJ9="6/8",6,AJ9="5/8",5,AJ9="4/8",4,AJ9="3/8",3,AJ9="2/8",2,AJ9="1/8",1,AJ9="0/8",0,TRUE,0)</f>
        <v>3</v>
      </c>
      <c r="AL9" s="189">
        <v>2</v>
      </c>
      <c r="AM9" s="300" cm="1">
        <f t="array" ref="AM9">_xlfn.IFS(AL9&gt;6,11,AL9&gt;=4,10,AL9&gt;=2,9,AL9=1,8,TRUE,0)</f>
        <v>9</v>
      </c>
      <c r="AN9" s="283">
        <f>Donations!E83</f>
        <v>100</v>
      </c>
      <c r="AO9" s="300" cm="1">
        <f t="array" ref="AO9">_xlfn.IFS(AN9&gt;125,11,AN9&gt;=116,10,AN9&gt;=101,9,AN9=100,8,AN9&gt;=86,7,AN9&gt;=71,6,AN9&gt;=61,5,AN9&gt;=51,4,AN9&gt;=41,3,AN9&gt;=26,2,AN9&gt;=1,1,TRUE,0)</f>
        <v>8</v>
      </c>
      <c r="AP9" s="190">
        <v>50</v>
      </c>
      <c r="AQ9" s="300" cm="1">
        <f t="array" ref="AQ9">_xlfn.IFS(AP9&gt;600,11,AP9&gt;=551,10,AP9&gt;=501,9,AP9=500,8,AP9&gt;=326,7,AP9&gt;=251,6,AP9&gt;=201,5,AP9&gt;=151,4,AP9&gt;=101,3,AP9&gt;=76,2,AP9&gt;=1,1,TRUE,0)</f>
        <v>1</v>
      </c>
      <c r="AR9" s="350"/>
      <c r="AS9" s="350"/>
      <c r="AT9" s="350"/>
      <c r="AU9" s="353"/>
      <c r="AV9" s="191">
        <v>1</v>
      </c>
      <c r="AW9" s="191">
        <v>4</v>
      </c>
      <c r="AX9" s="182">
        <v>2</v>
      </c>
      <c r="AY9" s="252">
        <f t="shared" si="8"/>
        <v>7</v>
      </c>
      <c r="AZ9" s="192"/>
      <c r="BA9" s="181"/>
      <c r="BB9" s="193">
        <v>0</v>
      </c>
      <c r="BC9" s="252" cm="1">
        <f t="array" ref="BC9">_xlfn.IFS(BB9=0,11,TRUE,0)</f>
        <v>11</v>
      </c>
      <c r="BD9" s="183">
        <v>0</v>
      </c>
      <c r="BE9" s="183">
        <v>4</v>
      </c>
      <c r="BF9" s="183">
        <v>3</v>
      </c>
      <c r="BG9" s="252">
        <f t="shared" si="11"/>
        <v>7</v>
      </c>
      <c r="BH9" s="183">
        <v>1</v>
      </c>
      <c r="BI9" s="183">
        <v>2</v>
      </c>
      <c r="BJ9" s="183">
        <v>3</v>
      </c>
      <c r="BK9" s="252">
        <f t="shared" si="12"/>
        <v>6</v>
      </c>
    </row>
    <row r="10" spans="1:63" ht="15.75" x14ac:dyDescent="0.25">
      <c r="A10" s="180" t="s">
        <v>109</v>
      </c>
      <c r="B10" s="252">
        <f t="shared" si="0"/>
        <v>134</v>
      </c>
      <c r="C10" s="253">
        <f t="shared" si="9"/>
        <v>2</v>
      </c>
      <c r="D10" s="13">
        <f>'Lodge Rank by District'!E7</f>
        <v>40</v>
      </c>
      <c r="E10" s="9" t="str">
        <f>'Active &amp; Renewals'!C97</f>
        <v>1427</v>
      </c>
      <c r="F10" s="9" t="str">
        <f>'Active &amp; Renewals'!D97</f>
        <v>1616</v>
      </c>
      <c r="G10" s="2">
        <f t="shared" si="1"/>
        <v>189</v>
      </c>
      <c r="H10" s="252" cm="1">
        <f t="array" ref="H10">_xlfn.IFS(G10&gt;20,11,G10&gt;11,10,G10&gt;2,9,G10&gt;0,8,G10&gt;-6,7,G10&gt;-11,6,G10&gt;-16,5,G10&gt;-21,4,G10&gt;-26,3,G10&gt;-31,2,G10&gt;-36,1,TRUE,0)</f>
        <v>11</v>
      </c>
      <c r="I10" s="113" t="str">
        <f>'Active &amp; Renewals'!E97</f>
        <v>89.12</v>
      </c>
      <c r="J10" s="252" cm="1">
        <f t="array" ref="J10">_xlfn.IFS(VALUE(I10)&gt;=90.5,11,VALUE(I10)&gt;=85.5,10,VALUE(I10)&gt;=80.5,9,VALUE(I10)&gt;=75.5,8,VALUE(I10)&gt;=74.5,7,VALUE(I10)&gt;=70.5,6,VALUE(I10)&gt;=64.5,5,VALUE(I10)&gt;=60.5,4,VALUE(I10)&gt;=54.5,3,VALUE(I10)&gt;=50.5,2,VALUE(I10)&gt;=44.5,1,TRUE,0)</f>
        <v>10</v>
      </c>
      <c r="K10" s="184">
        <v>2834.85</v>
      </c>
      <c r="L10" s="184">
        <f>Donations!B81</f>
        <v>1906</v>
      </c>
      <c r="M10" s="267">
        <f t="shared" si="2"/>
        <v>-928.84999999999991</v>
      </c>
      <c r="N10" s="268">
        <f t="shared" si="3"/>
        <v>0.67234597950508845</v>
      </c>
      <c r="O10" s="252" cm="1">
        <f t="array" ref="O10">_xlfn.IFS(N10&gt;=115.5%,11,N10&gt;=110.5%,10,N10&gt;=100.5%,9,N10&gt;=99.5%,8,N10&gt;=89.5%,7,N10&gt;=75.5%,6,N10&gt;=60.5%,5,N10&gt;=45.5%,4,N10&gt;=30.5%,3,N10&gt;=15.5%,2,N10&gt;=0.5%,1,TRUE,0)</f>
        <v>5</v>
      </c>
      <c r="P10" s="12">
        <f t="shared" si="4"/>
        <v>1.3356692361597757</v>
      </c>
      <c r="Q10" s="252" cm="1">
        <f t="array" ref="Q10">_xlfn.IFS(P10&gt;10,11,P10&gt;=8.01,10,P10&gt;=6.01,9,P10&gt;=4.01,8,P10=4,7,P10&gt;=3.01,6,P10&gt;=2.01,5,P10&gt;=1.51,4,P10&gt;=1.01,3,P10&gt;=0.51,2,P10&gt;=0.01,1,TRUE,0)</f>
        <v>3</v>
      </c>
      <c r="R10" s="269">
        <v>4281</v>
      </c>
      <c r="S10" s="186">
        <f>Donations!C81</f>
        <v>5216.24</v>
      </c>
      <c r="T10" s="279">
        <f t="shared" si="10"/>
        <v>3.6553889278206024</v>
      </c>
      <c r="U10" s="10">
        <f t="shared" si="13"/>
        <v>935.23999999999978</v>
      </c>
      <c r="V10" s="252" cm="1">
        <f t="array" ref="V10">_xlfn.IFS(T10&gt;=120%,11,T10&gt;=110.5%,10,T10&gt;=100.5%,9,T10&gt;99.9%,8,T10&gt;=85.5%,7,T10&gt;=72.5%,6,T10&gt;=65.5%,5,T10&gt;=55.5%,4,T10&gt;=45.5%,3,T10&gt;=35.5%,2,T10&gt;=20.5%,1,TRUE,0)</f>
        <v>11</v>
      </c>
      <c r="W10" s="269">
        <f t="shared" si="5"/>
        <v>214.04999999999998</v>
      </c>
      <c r="X10" s="186">
        <f>Donations!D81</f>
        <v>1000</v>
      </c>
      <c r="Y10" s="269">
        <f t="shared" si="6"/>
        <v>0.70077084793272604</v>
      </c>
      <c r="Z10" s="252" cm="1">
        <f t="array" ref="Z10">_xlfn.IFS(Y10&gt;=0.26,11,Y10&gt;=0.21,10,Y10&gt;=0.16,9,Y10=0.15,8,Y10=0.14,7,Y10=0.13,6,Y10&gt;=0.11,5,Y10&gt;=0.09,4,Y10&gt;=0.07,3,Y10&gt;=0.04,2,Y10&gt;=0.01,1,TRUE,0)</f>
        <v>11</v>
      </c>
      <c r="AA10" s="8" t="str">
        <f>'Active &amp; Renewals'!F97</f>
        <v>SUPERIOR</v>
      </c>
      <c r="AB10" s="281" cm="1">
        <f t="array" ref="AB10">_xlfn.IFS(AA10="SUPERIOR",11,AA10="EXCELLENT",9,AA10="GOOD",7,AA10="LATE",5,AA10="NO GRADE",3,AA10="NA",2,AA10="NO REPORT",0)</f>
        <v>11</v>
      </c>
      <c r="AC10" s="8" t="str">
        <f>'Active &amp; Renewals'!H97</f>
        <v>SUPERIOR</v>
      </c>
      <c r="AD10" s="281" cm="1">
        <f t="array" ref="AD10">_xlfn.IFS(AC10="SUPERIOR",11,AC10="EXCELLENT",9,AC10="GOOD",7,AC10="LATE",5,AC10="NO GRADE",3,AC10="NA",2,AC10="NO REPORT",0)</f>
        <v>11</v>
      </c>
      <c r="AE10" s="284" t="str">
        <f>'Active &amp; Renewals'!J97</f>
        <v>NO REPORT</v>
      </c>
      <c r="AF10" s="281" cm="1">
        <f t="array" ref="AF10">_xlfn.IFS(AE10="SUPERIOR",11,AE10="EXCELLENT",9,AE10="GOOD",7,AE10="LATE",5,AE10="NO GRADE",3,AE10="NA",2,AE10="NO REPORT",0)</f>
        <v>0</v>
      </c>
      <c r="AG10" s="284" t="str">
        <f>'Active &amp; Renewals'!L97</f>
        <v>NO REPORT</v>
      </c>
      <c r="AH10" s="281" cm="1">
        <f t="array" ref="AH10">_xlfn.IFS(AG10="SUPERIOR",11,AG10="EXCELLENT",9,AG10="GOOD",7,AG10="LATE",5,AG10="NO GRADE",3,AG10="NA",2,AG10="NO REPORT",0)</f>
        <v>0</v>
      </c>
      <c r="AI10" s="252">
        <f t="shared" si="14"/>
        <v>22</v>
      </c>
      <c r="AJ10" s="188" t="s">
        <v>656</v>
      </c>
      <c r="AK10" s="252" cm="1">
        <f t="array" ref="AK10">_xlfn.IFS(AJ10="8/8",11,AJ10="7/8",7,AJ10="6/8",6,AJ10="5/8",5,AJ10="4/8",4,AJ10="3/8",3,AJ10="2/8",2,AJ10="1/8",1,AJ10="0/8",0,TRUE,0)</f>
        <v>7</v>
      </c>
      <c r="AL10" s="189">
        <v>11</v>
      </c>
      <c r="AM10" s="300" cm="1">
        <f t="array" ref="AM10">_xlfn.IFS(AL10&gt;6,11,AL10&gt;=4,10,AL10&gt;=2,9,AL10=1,8,TRUE,0)</f>
        <v>11</v>
      </c>
      <c r="AN10" s="280">
        <f>Donations!E81</f>
        <v>0</v>
      </c>
      <c r="AO10" s="300" cm="1">
        <f t="array" ref="AO10">_xlfn.IFS(AN10&gt;125,11,AN10&gt;=116,10,AN10&gt;=101,9,AN10=100,8,AN10&gt;=86,7,AN10&gt;=71,6,AN10&gt;=61,5,AN10&gt;=51,4,AN10&gt;=41,3,AN10&gt;=26,2,AN10&gt;=1,1,TRUE,0)</f>
        <v>0</v>
      </c>
      <c r="AP10" s="190">
        <f>Donations!F81</f>
        <v>0</v>
      </c>
      <c r="AQ10" s="300" cm="1">
        <f t="array" ref="AQ10">_xlfn.IFS(AP10&gt;600,11,AP10&gt;=551,10,AP10&gt;=501,9,AP10=500,8,AP10&gt;=326,7,AP10&gt;=251,6,AP10&gt;=201,5,AP10&gt;=151,4,AP10&gt;=101,3,AP10&gt;=76,2,AP10&gt;=1,1,TRUE,0)</f>
        <v>0</v>
      </c>
      <c r="AR10" s="350"/>
      <c r="AS10" s="350"/>
      <c r="AT10" s="350"/>
      <c r="AU10" s="353"/>
      <c r="AV10" s="191">
        <v>3</v>
      </c>
      <c r="AW10" s="191">
        <v>4</v>
      </c>
      <c r="AX10" s="182">
        <v>5</v>
      </c>
      <c r="AY10" s="252">
        <f t="shared" si="8"/>
        <v>12</v>
      </c>
      <c r="AZ10" s="192"/>
      <c r="BA10" s="181"/>
      <c r="BB10" s="193">
        <v>0</v>
      </c>
      <c r="BC10" s="252" cm="1">
        <f t="array" ref="BC10">_xlfn.IFS(BB10=0,11,TRUE,0)</f>
        <v>11</v>
      </c>
      <c r="BD10" s="183">
        <v>4</v>
      </c>
      <c r="BE10" s="183">
        <v>4</v>
      </c>
      <c r="BF10" s="183">
        <v>4</v>
      </c>
      <c r="BG10" s="252">
        <f t="shared" si="11"/>
        <v>12</v>
      </c>
      <c r="BH10" s="183">
        <v>2</v>
      </c>
      <c r="BI10" s="183">
        <v>3</v>
      </c>
      <c r="BJ10" s="183">
        <v>3</v>
      </c>
      <c r="BK10" s="252">
        <f t="shared" si="12"/>
        <v>8</v>
      </c>
    </row>
    <row r="11" spans="1:63" ht="15.75" x14ac:dyDescent="0.25">
      <c r="A11" s="180" t="s">
        <v>108</v>
      </c>
      <c r="B11" s="252">
        <f t="shared" si="0"/>
        <v>113</v>
      </c>
      <c r="C11" s="253">
        <f t="shared" si="9"/>
        <v>6</v>
      </c>
      <c r="D11" s="13">
        <f>'Lodge Rank by District'!E8</f>
        <v>72</v>
      </c>
      <c r="E11" s="9" t="str">
        <f>'Active &amp; Renewals'!C102</f>
        <v>312</v>
      </c>
      <c r="F11" s="9" t="str">
        <f>'Active &amp; Renewals'!D102</f>
        <v>350</v>
      </c>
      <c r="G11" s="2">
        <f t="shared" si="1"/>
        <v>38</v>
      </c>
      <c r="H11" s="252" cm="1">
        <f t="array" ref="H11">_xlfn.IFS(G11&gt;20,11,G11&gt;11,10,G11&gt;2,9,G11&gt;0,8,G11&gt;-6,7,G11&gt;-11,6,G11&gt;-16,5,G11&gt;-21,4,G11&gt;-26,3,G11&gt;-31,2,G11&gt;-36,1,TRUE,0)</f>
        <v>11</v>
      </c>
      <c r="I11" s="113" t="str">
        <f>'Active &amp; Renewals'!E102</f>
        <v>82.69</v>
      </c>
      <c r="J11" s="252" cm="1">
        <f t="array" ref="J11">_xlfn.IFS(VALUE(I11)&gt;=90.5,11,VALUE(I11)&gt;=85.5,10,VALUE(I11)&gt;=80.5,9,VALUE(I11)&gt;=75.5,8,VALUE(I11)&gt;=74.5,7,VALUE(I11)&gt;=70.5,6,VALUE(I11)&gt;=64.5,5,VALUE(I11)&gt;=60.5,4,VALUE(I11)&gt;=54.5,3,VALUE(I11)&gt;=50.5,2,VALUE(I11)&gt;=44.5,1,TRUE,0)</f>
        <v>9</v>
      </c>
      <c r="K11" s="195">
        <v>410</v>
      </c>
      <c r="L11" s="195">
        <f>Donations!B57</f>
        <v>795</v>
      </c>
      <c r="M11" s="267">
        <f t="shared" si="2"/>
        <v>385</v>
      </c>
      <c r="N11" s="268">
        <f t="shared" si="3"/>
        <v>1.9390243902439024</v>
      </c>
      <c r="O11" s="252" cm="1">
        <f t="array" ref="O11">_xlfn.IFS(N11&gt;=115.5%,11,N11&gt;=110.5%,10,N11&gt;=100.5%,9,N11&gt;=99.5%,8,N11&gt;=89.5%,7,N11&gt;=75.5%,6,N11&gt;=60.5%,5,N11&gt;=45.5%,4,N11&gt;=30.5%,3,N11&gt;=15.5%,2,N11&gt;=0.5%,1,TRUE,0)</f>
        <v>11</v>
      </c>
      <c r="P11" s="12">
        <f t="shared" si="4"/>
        <v>2.5480769230769229</v>
      </c>
      <c r="Q11" s="252" cm="1">
        <f t="array" ref="Q11">_xlfn.IFS(P11&gt;10,11,P11&gt;=8.01,10,P11&gt;=6.01,9,P11&gt;=4.01,8,P11=4,7,P11&gt;=3.01,6,P11&gt;=2.01,5,P11&gt;=1.51,4,P11&gt;=1.01,3,P11&gt;=0.51,2,P11&gt;=0.01,1,TRUE,0)</f>
        <v>5</v>
      </c>
      <c r="R11" s="269">
        <v>936</v>
      </c>
      <c r="S11" s="186">
        <f>Donations!C57</f>
        <v>156</v>
      </c>
      <c r="T11" s="279">
        <f t="shared" si="10"/>
        <v>0.5</v>
      </c>
      <c r="U11" s="10">
        <f t="shared" si="13"/>
        <v>-780</v>
      </c>
      <c r="V11" s="252" cm="1">
        <f t="array" ref="V11">_xlfn.IFS(T11&gt;=120%,11,T11&gt;=110.5%,10,T11&gt;=100.5%,9,T11&gt;99.9%,8,T11&gt;=85.5%,7,T11&gt;=72.5%,6,T11&gt;=65.5%,5,T11&gt;=55.5%,4,T11&gt;=45.5%,3,T11&gt;=35.5%,2,T11&gt;=20.5%,1,TRUE,0)</f>
        <v>3</v>
      </c>
      <c r="W11" s="269">
        <f t="shared" si="5"/>
        <v>46.8</v>
      </c>
      <c r="X11" s="186">
        <f>Donations!D57</f>
        <v>82</v>
      </c>
      <c r="Y11" s="269">
        <f t="shared" si="6"/>
        <v>0.26282051282051283</v>
      </c>
      <c r="Z11" s="252" cm="1">
        <f t="array" ref="Z11">_xlfn.IFS(Y11&gt;=0.26,11,Y11&gt;=0.21,10,Y11&gt;=0.16,9,Y11=0.15,8,Y11=0.14,7,Y11=0.13,6,Y11&gt;=0.11,5,Y11&gt;=0.09,4,Y11&gt;=0.07,3,Y11&gt;=0.04,2,Y11&gt;=0.01,1,TRUE,0)</f>
        <v>11</v>
      </c>
      <c r="AA11" s="8" t="str">
        <f>'Active &amp; Renewals'!F102</f>
        <v>NO GRADE</v>
      </c>
      <c r="AB11" s="281" cm="1">
        <f t="array" ref="AB11">_xlfn.IFS(AA11="SUPERIOR",11,AA11="EXCELLENT",9,AA11="GOOD",7,AA11="LATE",5,AA11="NO GRADE",3,AA11="NA",2,AA11="NO REPORT",0)</f>
        <v>3</v>
      </c>
      <c r="AC11" s="8" t="str">
        <f>'Active &amp; Renewals'!H102</f>
        <v>SUPERIOR</v>
      </c>
      <c r="AD11" s="281" cm="1">
        <f t="array" ref="AD11">_xlfn.IFS(AC11="SUPERIOR",11,AC11="EXCELLENT",9,AC11="GOOD",7,AC11="LATE",5,AC11="NO GRADE",3,AC11="NA",2,AC11="NO REPORT",0)</f>
        <v>11</v>
      </c>
      <c r="AE11" s="284" t="str">
        <f>'Active &amp; Renewals'!J102</f>
        <v>NO REPORT</v>
      </c>
      <c r="AF11" s="281" cm="1">
        <f t="array" ref="AF11">_xlfn.IFS(AE11="SUPERIOR",11,AE11="EXCELLENT",9,AE11="GOOD",7,AE11="LATE",5,AE11="NO GRADE",3,AE11="NA",2,AE11="NO REPORT",0)</f>
        <v>0</v>
      </c>
      <c r="AG11" s="284" t="str">
        <f>'Active &amp; Renewals'!L102</f>
        <v>NO REPORT</v>
      </c>
      <c r="AH11" s="281" cm="1">
        <f t="array" ref="AH11">_xlfn.IFS(AG11="SUPERIOR",11,AG11="EXCELLENT",9,AG11="GOOD",7,AG11="LATE",5,AG11="NO GRADE",3,AG11="NA",2,AG11="NO REPORT",0)</f>
        <v>0</v>
      </c>
      <c r="AI11" s="252">
        <f t="shared" si="14"/>
        <v>14</v>
      </c>
      <c r="AJ11" s="188" t="s">
        <v>653</v>
      </c>
      <c r="AK11" s="252" cm="1">
        <f t="array" ref="AK11">_xlfn.IFS(AJ11="8/8",11,AJ11="7/8",7,AJ11="6/8",6,AJ11="5/8",5,AJ11="4/8",4,AJ11="3/8",3,AJ11="2/8",2,AJ11="1/8",1,AJ11="0/8",0,TRUE,0)</f>
        <v>6</v>
      </c>
      <c r="AL11" s="189">
        <v>1</v>
      </c>
      <c r="AM11" s="300" cm="1">
        <f t="array" ref="AM11">_xlfn.IFS(AL11&gt;6,11,AL11&gt;=4,10,AL11&gt;=2,9,AL11=1,8,TRUE,0)</f>
        <v>8</v>
      </c>
      <c r="AN11" s="283">
        <f>Donations!E57</f>
        <v>100</v>
      </c>
      <c r="AO11" s="300" cm="1">
        <f t="array" ref="AO11">_xlfn.IFS(AN11&gt;125,11,AN11&gt;=116,10,AN11&gt;=101,9,AN11=100,8,AN11&gt;=86,7,AN11&gt;=71,6,AN11&gt;=61,5,AN11&gt;=51,4,AN11&gt;=41,3,AN11&gt;=26,2,AN11&gt;=1,1,TRUE,0)</f>
        <v>8</v>
      </c>
      <c r="AP11" s="190">
        <f>Donations!F57</f>
        <v>50</v>
      </c>
      <c r="AQ11" s="300" cm="1">
        <f t="array" ref="AQ11">_xlfn.IFS(AP11&gt;600,11,AP11&gt;=551,10,AP11&gt;=501,9,AP11=500,8,AP11&gt;=326,7,AP11&gt;=251,6,AP11&gt;=201,5,AP11&gt;=151,4,AP11&gt;=101,3,AP11&gt;=76,2,AP11&gt;=1,1,TRUE,0)</f>
        <v>1</v>
      </c>
      <c r="AR11" s="351"/>
      <c r="AS11" s="351"/>
      <c r="AT11" s="351"/>
      <c r="AU11" s="354"/>
      <c r="AV11" s="191">
        <v>3</v>
      </c>
      <c r="AW11" s="191">
        <v>1</v>
      </c>
      <c r="AX11" s="187">
        <v>5</v>
      </c>
      <c r="AY11" s="252">
        <f t="shared" si="8"/>
        <v>9</v>
      </c>
      <c r="AZ11" s="192"/>
      <c r="BA11" s="181"/>
      <c r="BB11" s="193">
        <v>0</v>
      </c>
      <c r="BC11" s="252" cm="1">
        <f t="array" ref="BC11">_xlfn.IFS(BB11=0,11,TRUE,0)</f>
        <v>11</v>
      </c>
      <c r="BD11" s="183">
        <v>0</v>
      </c>
      <c r="BE11" s="183">
        <v>0</v>
      </c>
      <c r="BF11" s="183">
        <v>3</v>
      </c>
      <c r="BG11" s="252">
        <f t="shared" si="11"/>
        <v>3</v>
      </c>
      <c r="BH11" s="183">
        <v>0</v>
      </c>
      <c r="BI11" s="183">
        <v>0</v>
      </c>
      <c r="BJ11" s="194">
        <v>3</v>
      </c>
      <c r="BK11" s="252">
        <f t="shared" si="12"/>
        <v>3</v>
      </c>
    </row>
    <row r="12" spans="1:63" ht="18.75" customHeight="1" x14ac:dyDescent="0.25">
      <c r="A12" s="196" t="s">
        <v>1</v>
      </c>
      <c r="B12" s="254">
        <f>SUM(B4:B11)/8</f>
        <v>110.125</v>
      </c>
      <c r="C12" s="1"/>
      <c r="D12" s="255">
        <f>'District '!B22</f>
        <v>10</v>
      </c>
      <c r="E12" s="5"/>
      <c r="F12" s="5"/>
      <c r="G12" s="1"/>
      <c r="H12" s="1"/>
      <c r="I12" s="307"/>
      <c r="J12" s="1"/>
      <c r="K12" s="198"/>
      <c r="L12" s="198">
        <f>SUM(L4:L11)</f>
        <v>13608</v>
      </c>
      <c r="M12" s="4"/>
      <c r="N12" s="97"/>
      <c r="O12" s="1"/>
      <c r="P12" s="3"/>
      <c r="Q12" s="1"/>
      <c r="R12" s="1"/>
      <c r="S12" s="202"/>
      <c r="T12" s="97"/>
      <c r="U12" s="1"/>
      <c r="V12" s="1"/>
      <c r="W12" s="1"/>
      <c r="X12" s="285"/>
      <c r="Y12" s="269"/>
      <c r="Z12" s="1"/>
      <c r="AA12" s="2"/>
      <c r="AB12" s="2"/>
      <c r="AC12" s="2"/>
      <c r="AD12" s="2"/>
      <c r="AE12" s="7"/>
      <c r="AF12" s="18"/>
      <c r="AG12" s="7"/>
      <c r="AH12" s="2"/>
      <c r="AI12" s="1"/>
      <c r="AJ12" s="204"/>
      <c r="AK12" s="1"/>
      <c r="AL12" s="197"/>
      <c r="AM12" s="1"/>
      <c r="AN12" s="205"/>
      <c r="AO12" s="1"/>
      <c r="AP12" s="206"/>
      <c r="AQ12" s="1"/>
      <c r="AR12" s="207"/>
      <c r="AS12" s="207"/>
      <c r="AT12" s="207"/>
      <c r="AU12" s="301" t="s">
        <v>0</v>
      </c>
      <c r="AV12" s="208"/>
      <c r="AW12" s="208"/>
      <c r="AX12" s="209"/>
      <c r="AY12" s="1"/>
      <c r="AZ12" s="204"/>
      <c r="BA12" s="197"/>
      <c r="BB12" s="210"/>
      <c r="BC12" s="1"/>
      <c r="BD12" s="197"/>
      <c r="BE12" s="197"/>
      <c r="BF12" s="197"/>
      <c r="BG12" s="1"/>
      <c r="BH12" s="197"/>
      <c r="BI12" s="197"/>
      <c r="BJ12" s="211"/>
      <c r="BK12" s="1"/>
    </row>
    <row r="13" spans="1:63" ht="18.75" customHeight="1" x14ac:dyDescent="0.25">
      <c r="A13" s="196"/>
      <c r="B13" s="116"/>
      <c r="C13" s="1"/>
      <c r="D13" s="117"/>
      <c r="E13" s="5"/>
      <c r="F13" s="5"/>
      <c r="G13" s="1"/>
      <c r="H13" s="1"/>
      <c r="I13" s="307"/>
      <c r="J13" s="1"/>
      <c r="K13" s="198"/>
      <c r="L13" s="198"/>
      <c r="M13" s="4"/>
      <c r="N13" s="97"/>
      <c r="O13" s="1"/>
      <c r="P13" s="3"/>
      <c r="Q13" s="1"/>
      <c r="R13" s="1"/>
      <c r="S13" s="202"/>
      <c r="T13" s="97"/>
      <c r="U13" s="1"/>
      <c r="V13" s="1"/>
      <c r="W13" s="1"/>
      <c r="X13" s="285"/>
      <c r="Y13" s="269"/>
      <c r="Z13" s="1"/>
      <c r="AA13" s="2"/>
      <c r="AB13" s="2"/>
      <c r="AC13" s="2"/>
      <c r="AD13" s="2"/>
      <c r="AE13" s="7"/>
      <c r="AF13" s="18"/>
      <c r="AG13" s="7"/>
      <c r="AH13" s="2"/>
      <c r="AI13" s="1"/>
      <c r="AJ13" s="204"/>
      <c r="AK13" s="1"/>
      <c r="AL13" s="197"/>
      <c r="AM13" s="1"/>
      <c r="AN13" s="205"/>
      <c r="AO13" s="1"/>
      <c r="AP13" s="206"/>
      <c r="AQ13" s="1"/>
      <c r="AR13" s="207"/>
      <c r="AS13" s="207"/>
      <c r="AT13" s="207"/>
      <c r="AU13" s="301"/>
      <c r="AV13" s="208"/>
      <c r="AW13" s="208"/>
      <c r="AX13" s="209"/>
      <c r="AY13" s="1"/>
      <c r="AZ13" s="204"/>
      <c r="BA13" s="197"/>
      <c r="BB13" s="210"/>
      <c r="BC13" s="1"/>
      <c r="BD13" s="197"/>
      <c r="BE13" s="197"/>
      <c r="BF13" s="197"/>
      <c r="BG13" s="1"/>
      <c r="BH13" s="197"/>
      <c r="BI13" s="197"/>
      <c r="BJ13" s="211"/>
      <c r="BK13" s="1"/>
    </row>
    <row r="14" spans="1:63" ht="18.75" x14ac:dyDescent="0.25">
      <c r="A14" s="196" t="s">
        <v>107</v>
      </c>
      <c r="B14" s="2"/>
      <c r="C14" s="2"/>
      <c r="D14" s="2"/>
      <c r="E14" s="5"/>
      <c r="F14" s="5"/>
      <c r="G14" s="1"/>
      <c r="H14" s="1"/>
      <c r="I14" s="307"/>
      <c r="J14" s="1"/>
      <c r="K14" s="210"/>
      <c r="L14" s="210"/>
      <c r="M14" s="4"/>
      <c r="N14" s="97"/>
      <c r="O14" s="1"/>
      <c r="P14" s="3"/>
      <c r="Q14" s="1"/>
      <c r="R14" s="1"/>
      <c r="S14" s="202"/>
      <c r="T14" s="97"/>
      <c r="U14" s="1"/>
      <c r="V14" s="1"/>
      <c r="W14" s="1"/>
      <c r="X14" s="285"/>
      <c r="Y14" s="269"/>
      <c r="Z14" s="1"/>
      <c r="AA14" s="2"/>
      <c r="AB14" s="2"/>
      <c r="AC14" s="2"/>
      <c r="AD14" s="2"/>
      <c r="AE14" s="7"/>
      <c r="AF14" s="18"/>
      <c r="AG14" s="7"/>
      <c r="AH14" s="2"/>
      <c r="AI14" s="1"/>
      <c r="AJ14" s="204"/>
      <c r="AK14" s="1"/>
      <c r="AL14" s="197"/>
      <c r="AM14" s="1"/>
      <c r="AN14" s="205"/>
      <c r="AO14" s="1"/>
      <c r="AP14" s="206"/>
      <c r="AQ14" s="1"/>
      <c r="AR14" s="207"/>
      <c r="AS14" s="207"/>
      <c r="AT14" s="207"/>
      <c r="AU14" s="275"/>
      <c r="AV14" s="212"/>
      <c r="AW14" s="212"/>
      <c r="AX14" s="209"/>
      <c r="AY14" s="1"/>
      <c r="AZ14" s="204"/>
      <c r="BA14" s="197"/>
      <c r="BB14" s="210"/>
      <c r="BC14" s="1"/>
      <c r="BD14" s="197"/>
      <c r="BE14" s="197"/>
      <c r="BF14" s="197"/>
      <c r="BG14" s="1"/>
      <c r="BH14" s="197"/>
      <c r="BI14" s="197"/>
      <c r="BJ14" s="211"/>
      <c r="BK14" s="1"/>
    </row>
    <row r="15" spans="1:63" ht="15.75" x14ac:dyDescent="0.25">
      <c r="A15" s="180" t="s">
        <v>106</v>
      </c>
      <c r="B15" s="252">
        <f t="shared" ref="B15:B23" si="15">+H15+J15+O15+Q15+V15+Z15+AI15+AK15+AM15+AO15+AQ15+AY15+BA15+BC15+BG15+BK15</f>
        <v>157</v>
      </c>
      <c r="C15" s="253">
        <f>RANK(B15,$B$15:$B$23)</f>
        <v>1</v>
      </c>
      <c r="D15" s="13">
        <f>'Lodge Rank by District'!E9</f>
        <v>14</v>
      </c>
      <c r="E15" s="9" t="str">
        <f>'Active &amp; Renewals'!C11</f>
        <v>279</v>
      </c>
      <c r="F15" s="9" t="str">
        <f>'Active &amp; Renewals'!D11</f>
        <v>331</v>
      </c>
      <c r="G15" s="2">
        <f t="shared" ref="G15:G23" si="16">+F15-E15</f>
        <v>52</v>
      </c>
      <c r="H15" s="252" cm="1">
        <f t="array" ref="H15">_xlfn.IFS(G15&gt;20,11,G15&gt;11,10,G15&gt;2,9,G15&gt;0,8,G15&gt;-6,7,G15&gt;-11,6,G15&gt;-16,5,G15&gt;-21,4,G15&gt;-26,3,G15&gt;-31,2,G15&gt;-36,1,TRUE,0)</f>
        <v>11</v>
      </c>
      <c r="I15" s="113" t="str">
        <f>'Active &amp; Renewals'!E11</f>
        <v>83.87</v>
      </c>
      <c r="J15" s="252" cm="1">
        <f t="array" ref="J15">_xlfn.IFS(VALUE(I15)&gt;=90.5,11,VALUE(I15)&gt;=85.5,10,VALUE(I15)&gt;=80.5,9,VALUE(I15)&gt;=75.5,8,VALUE(I15)&gt;=74.5,7,VALUE(I15)&gt;=70.5,6,VALUE(I15)&gt;=64.5,5,VALUE(I15)&gt;=60.5,4,VALUE(I15)&gt;=54.5,3,VALUE(I15)&gt;=50.5,2,VALUE(I15)&gt;=44.5,1,TRUE,0)</f>
        <v>9</v>
      </c>
      <c r="K15" s="195">
        <v>1800</v>
      </c>
      <c r="L15" s="195">
        <f>Donations!B3</f>
        <v>1925</v>
      </c>
      <c r="M15" s="267">
        <f t="shared" ref="M15:M23" si="17">+L15-K15</f>
        <v>125</v>
      </c>
      <c r="N15" s="268">
        <f t="shared" ref="N15:N23" si="18">+L15/K15</f>
        <v>1.0694444444444444</v>
      </c>
      <c r="O15" s="252" cm="1">
        <f t="array" ref="O15">_xlfn.IFS(N15&gt;=115.5%,11,N15&gt;=110.5%,10,N15&gt;=100.5%,9,N15&gt;=99.5%,8,N15&gt;=89.5%,7,N15&gt;=75.5%,6,N15&gt;=60.5%,5,N15&gt;=45.5%,4,N15&gt;=30.5%,3,N15&gt;=15.5%,2,N15&gt;=0.5%,1,TRUE,0)</f>
        <v>9</v>
      </c>
      <c r="P15" s="12">
        <f t="shared" ref="P15:P23" si="19">+L15/E15</f>
        <v>6.8996415770609323</v>
      </c>
      <c r="Q15" s="252" cm="1">
        <f t="array" ref="Q15">_xlfn.IFS(P15&gt;10,11,P15&gt;=8.01,10,P15&gt;=6.01,9,P15&gt;=4.01,8,P15=4,7,P15&gt;=3.01,6,P15&gt;=2.01,5,P15&gt;=1.51,4,P15&gt;=1.01,3,P15&gt;=0.51,2,P15&gt;=0.01,1,TRUE,0)</f>
        <v>9</v>
      </c>
      <c r="R15" s="269">
        <v>837</v>
      </c>
      <c r="S15" s="186">
        <f>Donations!C3</f>
        <v>1051.6199999999999</v>
      </c>
      <c r="T15" s="279">
        <f t="shared" ref="T15:T23" si="20">+S15/(R15/3)</f>
        <v>3.7692473118279568</v>
      </c>
      <c r="U15" s="10">
        <f t="shared" ref="U15:U23" si="21">+S15-R15</f>
        <v>214.61999999999989</v>
      </c>
      <c r="V15" s="252" cm="1">
        <f t="array" ref="V15">_xlfn.IFS(T15&gt;=120%,11,T15&gt;=110.5%,10,T15&gt;=100.5%,9,T15&gt;99.9%,8,T15&gt;=85.5%,7,T15&gt;=72.5%,6,T15&gt;=65.5%,5,T15&gt;=55.5%,4,T15&gt;=45.5%,3,T15&gt;=35.5%,2,T15&gt;=20.5%,1,TRUE,0)</f>
        <v>11</v>
      </c>
      <c r="W15" s="269">
        <f t="shared" ref="W15:W23" si="22">E15*0.15</f>
        <v>41.85</v>
      </c>
      <c r="X15" s="186">
        <f>Donations!D3</f>
        <v>400</v>
      </c>
      <c r="Y15" s="269">
        <f t="shared" ref="Y15:Y23" si="23">+X15/E15</f>
        <v>1.4336917562724014</v>
      </c>
      <c r="Z15" s="252" cm="1">
        <f t="array" ref="Z15">_xlfn.IFS(Y15&gt;=0.26,11,Y15&gt;=0.21,10,Y15&gt;=0.16,9,Y15=0.15,8,Y15=0.14,7,Y15=0.13,6,Y15&gt;=0.11,5,Y15&gt;=0.09,4,Y15&gt;=0.07,3,Y15&gt;=0.04,2,Y15&gt;=0.01,1,TRUE,0)</f>
        <v>11</v>
      </c>
      <c r="AA15" s="8" t="str">
        <f>'Active &amp; Renewals'!F11</f>
        <v>GOOD</v>
      </c>
      <c r="AB15" s="281" cm="1">
        <f t="array" ref="AB15">_xlfn.IFS(AA15="SUPERIOR",11,AA15="EXCELLENT",9,AA15="GOOD",7,AA15="LATE",5,AA15="NO GRADE",3,AA15="NA",2,AA15="NO REPORT",0)</f>
        <v>7</v>
      </c>
      <c r="AC15" s="8" t="str">
        <f>'Active &amp; Renewals'!H11</f>
        <v>SUPERIOR</v>
      </c>
      <c r="AD15" s="281" cm="1">
        <f t="array" ref="AD15">_xlfn.IFS(AC15="SUPERIOR",11,AC15="EXCELLENT",9,AC15="GOOD",7,AC15="LATE",5,AC15="NO GRADE",3,AC15="NA",2,AC15="NO REPORT",0)</f>
        <v>11</v>
      </c>
      <c r="AE15" s="284" t="str">
        <f>'Active &amp; Renewals'!J11</f>
        <v>NO REPORT</v>
      </c>
      <c r="AF15" s="281" cm="1">
        <f t="array" ref="AF15">_xlfn.IFS(AE15="SUPERIOR",11,AE15="EXCELLENT",9,AE15="GOOD",7,AE15="LATE",5,AE15="NO GRADE",3,AE15="NA",2,AE15="NO REPORT",0)</f>
        <v>0</v>
      </c>
      <c r="AG15" s="284" t="str">
        <f>'Active &amp; Renewals'!L11</f>
        <v>NO REPORT</v>
      </c>
      <c r="AH15" s="281" cm="1">
        <f t="array" ref="AH15">_xlfn.IFS(AG15="SUPERIOR",11,AG15="EXCELLENT",9,AG15="GOOD",7,AG15="LATE",5,AG15="NO GRADE",3,AG15="NA",2,AG15="NO REPORT",0)</f>
        <v>0</v>
      </c>
      <c r="AI15" s="252">
        <f t="shared" ref="AI15:AI23" si="24">SUM(AB15+AD15+AF15+AH15)</f>
        <v>18</v>
      </c>
      <c r="AJ15" s="188" t="s">
        <v>655</v>
      </c>
      <c r="AK15" s="252" cm="1">
        <f t="array" ref="AK15">_xlfn.IFS(AJ15="8/8",11,AJ15="7/8",7,AJ15="6/8",6,AJ15="5/8",5,AJ15="4/8",4,AJ15="3/8",3,AJ15="2/8",2,AJ15="1/8",1,AJ15="0/8",0,TRUE,0)</f>
        <v>11</v>
      </c>
      <c r="AL15" s="189">
        <v>4</v>
      </c>
      <c r="AM15" s="300" cm="1">
        <f t="array" ref="AM15">_xlfn.IFS(AL15&gt;6,11,AL15&gt;=4,10,AL15&gt;=2,9,AL15=1,8,TRUE,0)</f>
        <v>10</v>
      </c>
      <c r="AN15" s="283">
        <f>Donations!E3</f>
        <v>200</v>
      </c>
      <c r="AO15" s="300" cm="1">
        <f t="array" ref="AO15">_xlfn.IFS(AN15&gt;125,11,AN15&gt;=116,10,AN15&gt;=101,9,AN15=100,8,AN15&gt;=86,7,AN15&gt;=71,6,AN15&gt;=61,5,AN15&gt;=51,4,AN15&gt;=41,3,AN15&gt;=26,2,AN15&gt;=1,1,TRUE,0)</f>
        <v>11</v>
      </c>
      <c r="AP15" s="190">
        <f>Donations!F3</f>
        <v>200</v>
      </c>
      <c r="AQ15" s="300" cm="1">
        <f t="array" ref="AQ15">_xlfn.IFS(AP15&gt;600,11,AP15&gt;=551,10,AP15&gt;=501,9,AP15=500,8,AP15&gt;=326,7,AP15&gt;=251,6,AP15&gt;=201,5,AP15&gt;=151,4,AP15&gt;=101,3,AP15&gt;=76,2,AP15&gt;=1,1,TRUE,0)</f>
        <v>4</v>
      </c>
      <c r="AR15" s="349">
        <v>3</v>
      </c>
      <c r="AS15" s="349">
        <v>5</v>
      </c>
      <c r="AT15" s="349">
        <v>1</v>
      </c>
      <c r="AU15" s="352">
        <f t="shared" ref="AU15" si="25">+AR15+AS15+AT15</f>
        <v>9</v>
      </c>
      <c r="AV15" s="191">
        <v>5</v>
      </c>
      <c r="AW15" s="191">
        <v>5</v>
      </c>
      <c r="AX15" s="187">
        <v>5</v>
      </c>
      <c r="AY15" s="252">
        <f t="shared" ref="AY15:AY23" si="26">+AV15+AW15+AX15</f>
        <v>15</v>
      </c>
      <c r="AZ15" s="192"/>
      <c r="BA15" s="181"/>
      <c r="BB15" s="193">
        <v>0</v>
      </c>
      <c r="BC15" s="252" cm="1">
        <f t="array" ref="BC15">_xlfn.IFS(BB15=0,11,TRUE,0)</f>
        <v>11</v>
      </c>
      <c r="BD15" s="183">
        <v>4</v>
      </c>
      <c r="BE15" s="183">
        <v>3</v>
      </c>
      <c r="BF15" s="183">
        <v>4</v>
      </c>
      <c r="BG15" s="252">
        <f t="shared" ref="BG15:BG23" si="27">SUM(BD15+BE15+BF15)</f>
        <v>11</v>
      </c>
      <c r="BH15" s="183">
        <v>0</v>
      </c>
      <c r="BI15" s="183">
        <v>3</v>
      </c>
      <c r="BJ15" s="183">
        <v>3</v>
      </c>
      <c r="BK15" s="252">
        <f t="shared" ref="BK15:BK23" si="28">SUM(BH15+BI15+BJ15)</f>
        <v>6</v>
      </c>
    </row>
    <row r="16" spans="1:63" ht="15.75" x14ac:dyDescent="0.25">
      <c r="A16" s="180" t="s">
        <v>105</v>
      </c>
      <c r="B16" s="252">
        <f t="shared" si="15"/>
        <v>108</v>
      </c>
      <c r="C16" s="253">
        <f t="shared" ref="C16:C23" si="29">RANK(B16,$B$15:$B$23)</f>
        <v>6</v>
      </c>
      <c r="D16" s="13">
        <f>'Lodge Rank by District'!E10</f>
        <v>76</v>
      </c>
      <c r="E16" s="9" t="str">
        <f>'Active &amp; Renewals'!C12</f>
        <v>147</v>
      </c>
      <c r="F16" s="9" t="str">
        <f>'Active &amp; Renewals'!D12</f>
        <v>171</v>
      </c>
      <c r="G16" s="2">
        <f t="shared" si="16"/>
        <v>24</v>
      </c>
      <c r="H16" s="252" cm="1">
        <f t="array" ref="H16">_xlfn.IFS(G16&gt;20,11,G16&gt;11,10,G16&gt;2,9,G16&gt;0,8,G16&gt;-6,7,G16&gt;-11,6,G16&gt;-16,5,G16&gt;-21,4,G16&gt;-26,3,G16&gt;-31,2,G16&gt;-36,1,TRUE,0)</f>
        <v>11</v>
      </c>
      <c r="I16" s="113" t="str">
        <f>'Active &amp; Renewals'!E12</f>
        <v>78.47</v>
      </c>
      <c r="J16" s="252" cm="1">
        <f t="array" ref="J16">_xlfn.IFS(VALUE(I16)&gt;=90.5,11,VALUE(I16)&gt;=85.5,10,VALUE(I16)&gt;=80.5,9,VALUE(I16)&gt;=75.5,8,VALUE(I16)&gt;=74.5,7,VALUE(I16)&gt;=70.5,6,VALUE(I16)&gt;=64.5,5,VALUE(I16)&gt;=60.5,4,VALUE(I16)&gt;=54.5,3,VALUE(I16)&gt;=50.5,2,VALUE(I16)&gt;=44.5,1,TRUE,0)</f>
        <v>8</v>
      </c>
      <c r="K16" s="195">
        <v>382</v>
      </c>
      <c r="L16" s="195">
        <f>Donations!B59</f>
        <v>722</v>
      </c>
      <c r="M16" s="267">
        <f t="shared" si="17"/>
        <v>340</v>
      </c>
      <c r="N16" s="268">
        <f t="shared" si="18"/>
        <v>1.8900523560209423</v>
      </c>
      <c r="O16" s="252" cm="1">
        <f t="array" ref="O16">_xlfn.IFS(N16&gt;=115.5%,11,N16&gt;=110.5%,10,N16&gt;=100.5%,9,N16&gt;=99.5%,8,N16&gt;=89.5%,7,N16&gt;=75.5%,6,N16&gt;=60.5%,5,N16&gt;=45.5%,4,N16&gt;=30.5%,3,N16&gt;=15.5%,2,N16&gt;=0.5%,1,TRUE,0)</f>
        <v>11</v>
      </c>
      <c r="P16" s="12">
        <f t="shared" si="19"/>
        <v>4.9115646258503398</v>
      </c>
      <c r="Q16" s="252" cm="1">
        <f t="array" ref="Q16">_xlfn.IFS(P16&gt;10,11,P16&gt;=8.01,10,P16&gt;=6.01,9,P16&gt;=4.01,8,P16=4,7,P16&gt;=3.01,6,P16&gt;=2.01,5,P16&gt;=1.51,4,P16&gt;=1.01,3,P16&gt;=0.51,2,P16&gt;=0.01,1,TRUE,0)</f>
        <v>8</v>
      </c>
      <c r="R16" s="269">
        <v>441</v>
      </c>
      <c r="S16" s="186">
        <f>Donations!C59</f>
        <v>150</v>
      </c>
      <c r="T16" s="279">
        <f t="shared" si="20"/>
        <v>1.0204081632653061</v>
      </c>
      <c r="U16" s="10">
        <f t="shared" si="21"/>
        <v>-291</v>
      </c>
      <c r="V16" s="252" cm="1">
        <f t="array" ref="V16">_xlfn.IFS(T16&gt;=120%,11,T16&gt;=110.5%,10,T16&gt;=100.5%,9,T16&gt;99.9%,8,T16&gt;=85.5%,7,T16&gt;=72.5%,6,T16&gt;=65.5%,5,T16&gt;=55.5%,4,T16&gt;=45.5%,3,T16&gt;=35.5%,2,T16&gt;=20.5%,1,TRUE,0)</f>
        <v>9</v>
      </c>
      <c r="W16" s="269">
        <f t="shared" si="22"/>
        <v>22.05</v>
      </c>
      <c r="X16" s="186">
        <f>Donations!D59</f>
        <v>0</v>
      </c>
      <c r="Y16" s="269">
        <f t="shared" si="23"/>
        <v>0</v>
      </c>
      <c r="Z16" s="252" cm="1">
        <f t="array" ref="Z16">_xlfn.IFS(Y16&gt;=0.26,11,Y16&gt;=0.21,10,Y16&gt;=0.16,9,Y16=0.15,8,Y16=0.14,7,Y16=0.13,6,Y16&gt;=0.11,5,Y16&gt;=0.09,4,Y16&gt;=0.07,3,Y16&gt;=0.04,2,Y16&gt;=0.01,1,TRUE,0)</f>
        <v>0</v>
      </c>
      <c r="AA16" s="8" t="str">
        <f>'Active &amp; Renewals'!F12</f>
        <v>EXCELLENT</v>
      </c>
      <c r="AB16" s="281" cm="1">
        <f t="array" ref="AB16">_xlfn.IFS(AA16="SUPERIOR",11,AA16="EXCELLENT",9,AA16="GOOD",7,AA16="LATE",5,AA16="NO GRADE",3,AA16="NA",2,AA16="NO REPORT",0)</f>
        <v>9</v>
      </c>
      <c r="AC16" s="8" t="str">
        <f>'Active &amp; Renewals'!H12</f>
        <v>EXCELLENT</v>
      </c>
      <c r="AD16" s="281" cm="1">
        <f t="array" ref="AD16">_xlfn.IFS(AC16="SUPERIOR",11,AC16="EXCELLENT",9,AC16="GOOD",7,AC16="LATE",5,AC16="NO GRADE",3,AC16="NA",2,AC16="NO REPORT",0)</f>
        <v>9</v>
      </c>
      <c r="AE16" s="284" t="str">
        <f>'Active &amp; Renewals'!J12</f>
        <v>NO REPORT</v>
      </c>
      <c r="AF16" s="281" cm="1">
        <f t="array" ref="AF16">_xlfn.IFS(AE16="SUPERIOR",11,AE16="EXCELLENT",9,AE16="GOOD",7,AE16="LATE",5,AE16="NO GRADE",3,AE16="NA",2,AE16="NO REPORT",0)</f>
        <v>0</v>
      </c>
      <c r="AG16" s="284" t="str">
        <f>'Active &amp; Renewals'!L12</f>
        <v>NO REPORT</v>
      </c>
      <c r="AH16" s="281" cm="1">
        <f t="array" ref="AH16">_xlfn.IFS(AG16="SUPERIOR",11,AG16="EXCELLENT",9,AG16="GOOD",7,AG16="LATE",5,AG16="NO GRADE",3,AG16="NA",2,AG16="NO REPORT",0)</f>
        <v>0</v>
      </c>
      <c r="AI16" s="252">
        <f t="shared" si="24"/>
        <v>18</v>
      </c>
      <c r="AJ16" s="188" t="s">
        <v>658</v>
      </c>
      <c r="AK16" s="252" cm="1">
        <f t="array" ref="AK16">_xlfn.IFS(AJ16="8/8",11,AJ16="7/8",7,AJ16="6/8",6,AJ16="5/8",5,AJ16="4/8",4,AJ16="3/8",3,AJ16="2/8",2,AJ16="1/8",1,AJ16="0/8",0,TRUE,0)</f>
        <v>4</v>
      </c>
      <c r="AL16" s="189">
        <v>0</v>
      </c>
      <c r="AM16" s="300" cm="1">
        <f t="array" ref="AM16">_xlfn.IFS(AL16&gt;6,11,AL16&gt;=4,10,AL16&gt;=2,9,AL16=1,8,TRUE,0)</f>
        <v>0</v>
      </c>
      <c r="AN16" s="283">
        <f>Donations!E59</f>
        <v>100</v>
      </c>
      <c r="AO16" s="300" cm="1">
        <f t="array" ref="AO16">_xlfn.IFS(AN16&gt;125,11,AN16&gt;=116,10,AN16&gt;=101,9,AN16=100,8,AN16&gt;=86,7,AN16&gt;=71,6,AN16&gt;=61,5,AN16&gt;=51,4,AN16&gt;=41,3,AN16&gt;=26,2,AN16&gt;=1,1,TRUE,0)</f>
        <v>8</v>
      </c>
      <c r="AP16" s="190">
        <f>Donations!F59</f>
        <v>50</v>
      </c>
      <c r="AQ16" s="300" cm="1">
        <f t="array" ref="AQ16">_xlfn.IFS(AP16&gt;600,11,AP16&gt;=551,10,AP16&gt;=501,9,AP16=500,8,AP16&gt;=326,7,AP16&gt;=251,6,AP16&gt;=201,5,AP16&gt;=151,4,AP16&gt;=101,3,AP16&gt;=76,2,AP16&gt;=1,1,TRUE,0)</f>
        <v>1</v>
      </c>
      <c r="AR16" s="350"/>
      <c r="AS16" s="350"/>
      <c r="AT16" s="350"/>
      <c r="AU16" s="353"/>
      <c r="AV16" s="191">
        <v>1</v>
      </c>
      <c r="AW16" s="191">
        <v>4</v>
      </c>
      <c r="AX16" s="187">
        <v>4</v>
      </c>
      <c r="AY16" s="252">
        <f t="shared" si="26"/>
        <v>9</v>
      </c>
      <c r="AZ16" s="192"/>
      <c r="BA16" s="181"/>
      <c r="BB16" s="193">
        <v>0</v>
      </c>
      <c r="BC16" s="252" cm="1">
        <f t="array" ref="BC16">_xlfn.IFS(BB16=0,11,TRUE,0)</f>
        <v>11</v>
      </c>
      <c r="BD16" s="183">
        <v>0</v>
      </c>
      <c r="BE16" s="183">
        <v>2</v>
      </c>
      <c r="BF16" s="183">
        <v>2</v>
      </c>
      <c r="BG16" s="252">
        <f t="shared" si="27"/>
        <v>4</v>
      </c>
      <c r="BH16" s="183">
        <v>0</v>
      </c>
      <c r="BI16" s="183">
        <v>3</v>
      </c>
      <c r="BJ16" s="183">
        <v>3</v>
      </c>
      <c r="BK16" s="252">
        <f t="shared" si="28"/>
        <v>6</v>
      </c>
    </row>
    <row r="17" spans="1:63" ht="15.75" x14ac:dyDescent="0.25">
      <c r="A17" s="180" t="s">
        <v>104</v>
      </c>
      <c r="B17" s="252">
        <f t="shared" si="15"/>
        <v>119</v>
      </c>
      <c r="C17" s="253">
        <f t="shared" si="29"/>
        <v>5</v>
      </c>
      <c r="D17" s="13">
        <f>'Lodge Rank by District'!E11</f>
        <v>62</v>
      </c>
      <c r="E17" s="9" t="str">
        <f>'Active &amp; Renewals'!C25</f>
        <v>971</v>
      </c>
      <c r="F17" s="9" t="str">
        <f>'Active &amp; Renewals'!D25</f>
        <v>1055</v>
      </c>
      <c r="G17" s="2">
        <f t="shared" si="16"/>
        <v>84</v>
      </c>
      <c r="H17" s="252" cm="1">
        <f t="array" ref="H17">_xlfn.IFS(G17&gt;20,11,G17&gt;11,10,G17&gt;2,9,G17&gt;0,8,G17&gt;-6,7,G17&gt;-11,6,G17&gt;-16,5,G17&gt;-21,4,G17&gt;-26,3,G17&gt;-31,2,G17&gt;-36,1,TRUE,0)</f>
        <v>11</v>
      </c>
      <c r="I17" s="113" t="str">
        <f>'Active &amp; Renewals'!E25</f>
        <v>86.51</v>
      </c>
      <c r="J17" s="252" cm="1">
        <f t="array" ref="J17">_xlfn.IFS(VALUE(I17)&gt;=90.5,11,VALUE(I17)&gt;=85.5,10,VALUE(I17)&gt;=80.5,9,VALUE(I17)&gt;=75.5,8,VALUE(I17)&gt;=74.5,7,VALUE(I17)&gt;=70.5,6,VALUE(I17)&gt;=64.5,5,VALUE(I17)&gt;=60.5,4,VALUE(I17)&gt;=54.5,3,VALUE(I17)&gt;=50.5,2,VALUE(I17)&gt;=44.5,1,TRUE,0)</f>
        <v>10</v>
      </c>
      <c r="K17" s="195">
        <v>8600</v>
      </c>
      <c r="L17" s="195">
        <f>Donations!B76</f>
        <v>5110</v>
      </c>
      <c r="M17" s="267">
        <f t="shared" si="17"/>
        <v>-3490</v>
      </c>
      <c r="N17" s="268">
        <f t="shared" si="18"/>
        <v>0.59418604651162787</v>
      </c>
      <c r="O17" s="252" cm="1">
        <f t="array" ref="O17">_xlfn.IFS(N17&gt;=115.5%,11,N17&gt;=110.5%,10,N17&gt;=100.5%,9,N17&gt;=99.5%,8,N17&gt;=89.5%,7,N17&gt;=75.5%,6,N17&gt;=60.5%,5,N17&gt;=45.5%,4,N17&gt;=30.5%,3,N17&gt;=15.5%,2,N17&gt;=0.5%,1,TRUE,0)</f>
        <v>4</v>
      </c>
      <c r="P17" s="12">
        <f t="shared" si="19"/>
        <v>5.262615859938208</v>
      </c>
      <c r="Q17" s="252" cm="1">
        <f t="array" ref="Q17">_xlfn.IFS(P17&gt;10,11,P17&gt;=8.01,10,P17&gt;=6.01,9,P17&gt;=4.01,8,P17=4,7,P17&gt;=3.01,6,P17&gt;=2.01,5,P17&gt;=1.51,4,P17&gt;=1.01,3,P17&gt;=0.51,2,P17&gt;=0.01,1,TRUE,0)</f>
        <v>8</v>
      </c>
      <c r="R17" s="269">
        <v>2913</v>
      </c>
      <c r="S17" s="186">
        <f>Donations!C76</f>
        <v>1000</v>
      </c>
      <c r="T17" s="279">
        <f t="shared" si="20"/>
        <v>1.0298661174047374</v>
      </c>
      <c r="U17" s="10">
        <f t="shared" si="21"/>
        <v>-1913</v>
      </c>
      <c r="V17" s="252" cm="1">
        <f t="array" ref="V17">_xlfn.IFS(T17&gt;=120%,11,T17&gt;=110.5%,10,T17&gt;=100.5%,9,T17&gt;99.9%,8,T17&gt;=85.5%,7,T17&gt;=72.5%,6,T17&gt;=65.5%,5,T17&gt;=55.5%,4,T17&gt;=45.5%,3,T17&gt;=35.5%,2,T17&gt;=20.5%,1,TRUE,0)</f>
        <v>9</v>
      </c>
      <c r="W17" s="269">
        <f t="shared" si="22"/>
        <v>145.65</v>
      </c>
      <c r="X17" s="186">
        <f>Donations!D76</f>
        <v>200</v>
      </c>
      <c r="Y17" s="269">
        <f t="shared" si="23"/>
        <v>0.20597322348094749</v>
      </c>
      <c r="Z17" s="252" cm="1">
        <f t="array" ref="Z17">_xlfn.IFS(Y17&gt;=0.26,11,Y17&gt;=0.21,10,Y17&gt;=0.16,9,Y17=0.15,8,Y17=0.14,7,Y17=0.13,6,Y17&gt;=0.11,5,Y17&gt;=0.09,4,Y17&gt;=0.07,3,Y17&gt;=0.04,2,Y17&gt;=0.01,1,TRUE,0)</f>
        <v>9</v>
      </c>
      <c r="AA17" s="8" t="str">
        <f>'Active &amp; Renewals'!F25</f>
        <v>NO GRADE</v>
      </c>
      <c r="AB17" s="281" cm="1">
        <f t="array" ref="AB17">_xlfn.IFS(AA17="SUPERIOR",11,AA17="EXCELLENT",9,AA17="GOOD",7,AA17="LATE",5,AA17="NO GRADE",3,AA17="NA",2,AA17="NO REPORT",0)</f>
        <v>3</v>
      </c>
      <c r="AC17" s="8" t="str">
        <f>'Active &amp; Renewals'!H25</f>
        <v>EXCELLENT</v>
      </c>
      <c r="AD17" s="281" cm="1">
        <f t="array" ref="AD17">_xlfn.IFS(AC17="SUPERIOR",11,AC17="EXCELLENT",9,AC17="GOOD",7,AC17="LATE",5,AC17="NO GRADE",3,AC17="NA",2,AC17="NO REPORT",0)</f>
        <v>9</v>
      </c>
      <c r="AE17" s="284" t="str">
        <f>'Active &amp; Renewals'!J25</f>
        <v>NO REPORT</v>
      </c>
      <c r="AF17" s="281" cm="1">
        <f t="array" ref="AF17">_xlfn.IFS(AE17="SUPERIOR",11,AE17="EXCELLENT",9,AE17="GOOD",7,AE17="LATE",5,AE17="NO GRADE",3,AE17="NA",2,AE17="NO REPORT",0)</f>
        <v>0</v>
      </c>
      <c r="AG17" s="284" t="str">
        <f>'Active &amp; Renewals'!L25</f>
        <v>NO REPORT</v>
      </c>
      <c r="AH17" s="281" cm="1">
        <f t="array" ref="AH17">_xlfn.IFS(AG17="SUPERIOR",11,AG17="EXCELLENT",9,AG17="GOOD",7,AG17="LATE",5,AG17="NO GRADE",3,AG17="NA",2,AG17="NO REPORT",0)</f>
        <v>0</v>
      </c>
      <c r="AI17" s="252">
        <f t="shared" si="24"/>
        <v>12</v>
      </c>
      <c r="AJ17" s="188" t="s">
        <v>656</v>
      </c>
      <c r="AK17" s="252" cm="1">
        <f t="array" ref="AK17">_xlfn.IFS(AJ17="8/8",11,AJ17="7/8",7,AJ17="6/8",6,AJ17="5/8",5,AJ17="4/8",4,AJ17="3/8",3,AJ17="2/8",2,AJ17="1/8",1,AJ17="0/8",0,TRUE,0)</f>
        <v>7</v>
      </c>
      <c r="AL17" s="189">
        <v>4</v>
      </c>
      <c r="AM17" s="300" cm="1">
        <f t="array" ref="AM17">_xlfn.IFS(AL17&gt;6,11,AL17&gt;=4,10,AL17&gt;=2,9,AL17=1,8,TRUE,0)</f>
        <v>10</v>
      </c>
      <c r="AN17" s="283">
        <f>Donations!E76</f>
        <v>200</v>
      </c>
      <c r="AO17" s="300" cm="1">
        <f t="array" ref="AO17">_xlfn.IFS(AN17&gt;125,11,AN17&gt;=116,10,AN17&gt;=101,9,AN17=100,8,AN17&gt;=86,7,AN17&gt;=71,6,AN17&gt;=61,5,AN17&gt;=51,4,AN17&gt;=41,3,AN17&gt;=26,2,AN17&gt;=1,1,TRUE,0)</f>
        <v>11</v>
      </c>
      <c r="AP17" s="190">
        <f>Donations!F76</f>
        <v>0</v>
      </c>
      <c r="AQ17" s="300" cm="1">
        <f t="array" ref="AQ17">_xlfn.IFS(AP17&gt;600,11,AP17&gt;=551,10,AP17&gt;=501,9,AP17=500,8,AP17&gt;=326,7,AP17&gt;=251,6,AP17&gt;=201,5,AP17&gt;=151,4,AP17&gt;=101,3,AP17&gt;=76,2,AP17&gt;=1,1,TRUE,0)</f>
        <v>0</v>
      </c>
      <c r="AR17" s="350"/>
      <c r="AS17" s="350"/>
      <c r="AT17" s="350"/>
      <c r="AU17" s="353"/>
      <c r="AV17" s="191">
        <v>3</v>
      </c>
      <c r="AW17" s="191">
        <v>2</v>
      </c>
      <c r="AX17" s="187">
        <v>0</v>
      </c>
      <c r="AY17" s="252">
        <f t="shared" si="26"/>
        <v>5</v>
      </c>
      <c r="AZ17" s="192"/>
      <c r="BA17" s="181"/>
      <c r="BB17" s="193">
        <v>0</v>
      </c>
      <c r="BC17" s="252" cm="1">
        <f t="array" ref="BC17">_xlfn.IFS(BB17=0,11,TRUE,0)</f>
        <v>11</v>
      </c>
      <c r="BD17" s="183">
        <v>2</v>
      </c>
      <c r="BE17" s="183">
        <v>2</v>
      </c>
      <c r="BF17" s="183">
        <v>1</v>
      </c>
      <c r="BG17" s="252">
        <f t="shared" si="27"/>
        <v>5</v>
      </c>
      <c r="BH17" s="183">
        <v>3</v>
      </c>
      <c r="BI17" s="183">
        <v>1</v>
      </c>
      <c r="BJ17" s="183">
        <v>3</v>
      </c>
      <c r="BK17" s="252">
        <f t="shared" si="28"/>
        <v>7</v>
      </c>
    </row>
    <row r="18" spans="1:63" ht="15.75" x14ac:dyDescent="0.25">
      <c r="A18" s="180" t="s">
        <v>103</v>
      </c>
      <c r="B18" s="252">
        <f t="shared" si="15"/>
        <v>103</v>
      </c>
      <c r="C18" s="253">
        <f t="shared" si="29"/>
        <v>8</v>
      </c>
      <c r="D18" s="13">
        <f>'Lodge Rank by District'!E12</f>
        <v>81</v>
      </c>
      <c r="E18" s="9" t="str">
        <f>'Active &amp; Renewals'!C34</f>
        <v>498</v>
      </c>
      <c r="F18" s="9" t="str">
        <f>'Active &amp; Renewals'!D34</f>
        <v>568</v>
      </c>
      <c r="G18" s="2">
        <f t="shared" si="16"/>
        <v>70</v>
      </c>
      <c r="H18" s="252" cm="1">
        <f t="array" ref="H18">_xlfn.IFS(G18&gt;20,11,G18&gt;11,10,G18&gt;2,9,G18&gt;0,8,G18&gt;-6,7,G18&gt;-11,6,G18&gt;-16,5,G18&gt;-21,4,G18&gt;-26,3,G18&gt;-31,2,G18&gt;-36,1,TRUE,0)</f>
        <v>11</v>
      </c>
      <c r="I18" s="113" t="str">
        <f>'Active &amp; Renewals'!E34</f>
        <v>92.37</v>
      </c>
      <c r="J18" s="252" cm="1">
        <f t="array" ref="J18">_xlfn.IFS(VALUE(I18)&gt;=90.5,11,VALUE(I18)&gt;=85.5,10,VALUE(I18)&gt;=80.5,9,VALUE(I18)&gt;=75.5,8,VALUE(I18)&gt;=74.5,7,VALUE(I18)&gt;=70.5,6,VALUE(I18)&gt;=64.5,5,VALUE(I18)&gt;=60.5,4,VALUE(I18)&gt;=54.5,3,VALUE(I18)&gt;=50.5,2,VALUE(I18)&gt;=44.5,1,TRUE,0)</f>
        <v>11</v>
      </c>
      <c r="K18" s="195">
        <v>981</v>
      </c>
      <c r="L18" s="195">
        <f>Donations!B37</f>
        <v>934</v>
      </c>
      <c r="M18" s="267">
        <f t="shared" si="17"/>
        <v>-47</v>
      </c>
      <c r="N18" s="268">
        <f t="shared" si="18"/>
        <v>0.95208970438328233</v>
      </c>
      <c r="O18" s="252" cm="1">
        <f t="array" ref="O18">_xlfn.IFS(N18&gt;=115.5%,11,N18&gt;=110.5%,10,N18&gt;=100.5%,9,N18&gt;=99.5%,8,N18&gt;=89.5%,7,N18&gt;=75.5%,6,N18&gt;=60.5%,5,N18&gt;=45.5%,4,N18&gt;=30.5%,3,N18&gt;=15.5%,2,N18&gt;=0.5%,1,TRUE,0)</f>
        <v>7</v>
      </c>
      <c r="P18" s="12">
        <f t="shared" si="19"/>
        <v>1.8755020080321285</v>
      </c>
      <c r="Q18" s="252" cm="1">
        <f t="array" ref="Q18">_xlfn.IFS(P18&gt;10,11,P18&gt;=8.01,10,P18&gt;=6.01,9,P18&gt;=4.01,8,P18=4,7,P18&gt;=3.01,6,P18&gt;=2.01,5,P18&gt;=1.51,4,P18&gt;=1.01,3,P18&gt;=0.51,2,P18&gt;=0.01,1,TRUE,0)</f>
        <v>4</v>
      </c>
      <c r="R18" s="269">
        <v>1494</v>
      </c>
      <c r="S18" s="186">
        <f>Donations!C37</f>
        <v>997</v>
      </c>
      <c r="T18" s="279">
        <f t="shared" si="20"/>
        <v>2.0020080321285141</v>
      </c>
      <c r="U18" s="10">
        <f t="shared" si="21"/>
        <v>-497</v>
      </c>
      <c r="V18" s="252" cm="1">
        <f t="array" ref="V18">_xlfn.IFS(T18&gt;=120%,11,T18&gt;=110.5%,10,T18&gt;=100.5%,9,T18&gt;99.9%,8,T18&gt;=85.5%,7,T18&gt;=72.5%,6,T18&gt;=65.5%,5,T18&gt;=55.5%,4,T18&gt;=45.5%,3,T18&gt;=35.5%,2,T18&gt;=20.5%,1,TRUE,0)</f>
        <v>11</v>
      </c>
      <c r="W18" s="269">
        <f t="shared" si="22"/>
        <v>74.7</v>
      </c>
      <c r="X18" s="186">
        <f>Donations!D37</f>
        <v>0</v>
      </c>
      <c r="Y18" s="269">
        <f t="shared" si="23"/>
        <v>0</v>
      </c>
      <c r="Z18" s="252" cm="1">
        <f t="array" ref="Z18">_xlfn.IFS(Y18&gt;=0.26,11,Y18&gt;=0.21,10,Y18&gt;=0.16,9,Y18=0.15,8,Y18=0.14,7,Y18=0.13,6,Y18&gt;=0.11,5,Y18&gt;=0.09,4,Y18&gt;=0.07,3,Y18&gt;=0.04,2,Y18&gt;=0.01,1,TRUE,0)</f>
        <v>0</v>
      </c>
      <c r="AA18" s="8" t="str">
        <f>'Active &amp; Renewals'!F34</f>
        <v>EXCELLENT</v>
      </c>
      <c r="AB18" s="281" cm="1">
        <f t="array" ref="AB18">_xlfn.IFS(AA18="SUPERIOR",11,AA18="EXCELLENT",9,AA18="GOOD",7,AA18="LATE",5,AA18="NO GRADE",3,AA18="NA",2,AA18="NO REPORT",0)</f>
        <v>9</v>
      </c>
      <c r="AC18" s="8" t="str">
        <f>'Active &amp; Renewals'!H34</f>
        <v>NO GRADE</v>
      </c>
      <c r="AD18" s="281" cm="1">
        <f t="array" ref="AD18">_xlfn.IFS(AC18="SUPERIOR",11,AC18="EXCELLENT",9,AC18="GOOD",7,AC18="LATE",5,AC18="NO GRADE",3,AC18="NA",2,AC18="NO REPORT",0)</f>
        <v>3</v>
      </c>
      <c r="AE18" s="284" t="str">
        <f>'Active &amp; Renewals'!J34</f>
        <v>NO REPORT</v>
      </c>
      <c r="AF18" s="281" cm="1">
        <f t="array" ref="AF18">_xlfn.IFS(AE18="SUPERIOR",11,AE18="EXCELLENT",9,AE18="GOOD",7,AE18="LATE",5,AE18="NO GRADE",3,AE18="NA",2,AE18="NO REPORT",0)</f>
        <v>0</v>
      </c>
      <c r="AG18" s="284" t="str">
        <f>'Active &amp; Renewals'!L34</f>
        <v>NO REPORT</v>
      </c>
      <c r="AH18" s="281" cm="1">
        <f t="array" ref="AH18">_xlfn.IFS(AG18="SUPERIOR",11,AG18="EXCELLENT",9,AG18="GOOD",7,AG18="LATE",5,AG18="NO GRADE",3,AG18="NA",2,AG18="NO REPORT",0)</f>
        <v>0</v>
      </c>
      <c r="AI18" s="252">
        <f t="shared" si="24"/>
        <v>12</v>
      </c>
      <c r="AJ18" s="188" t="s">
        <v>653</v>
      </c>
      <c r="AK18" s="252" cm="1">
        <f t="array" ref="AK18">_xlfn.IFS(AJ18="8/8",11,AJ18="7/8",7,AJ18="6/8",6,AJ18="5/8",5,AJ18="4/8",4,AJ18="3/8",3,AJ18="2/8",2,AJ18="1/8",1,AJ18="0/8",0,TRUE,0)</f>
        <v>6</v>
      </c>
      <c r="AL18" s="189">
        <v>1</v>
      </c>
      <c r="AM18" s="300" cm="1">
        <f t="array" ref="AM18">_xlfn.IFS(AL18&gt;6,11,AL18&gt;=4,10,AL18&gt;=2,9,AL18=1,8,TRUE,0)</f>
        <v>8</v>
      </c>
      <c r="AN18" s="283">
        <f>Donations!E37</f>
        <v>100</v>
      </c>
      <c r="AO18" s="300" cm="1">
        <f t="array" ref="AO18">_xlfn.IFS(AN18&gt;125,11,AN18&gt;=116,10,AN18&gt;=101,9,AN18=100,8,AN18&gt;=86,7,AN18&gt;=71,6,AN18&gt;=61,5,AN18&gt;=51,4,AN18&gt;=41,3,AN18&gt;=26,2,AN18&gt;=1,1,TRUE,0)</f>
        <v>8</v>
      </c>
      <c r="AP18" s="190">
        <f>Donations!F37</f>
        <v>100</v>
      </c>
      <c r="AQ18" s="300" cm="1">
        <f t="array" ref="AQ18">_xlfn.IFS(AP18&gt;600,11,AP18&gt;=551,10,AP18&gt;=501,9,AP18=500,8,AP18&gt;=326,7,AP18&gt;=251,6,AP18&gt;=201,5,AP18&gt;=151,4,AP18&gt;=101,3,AP18&gt;=76,2,AP18&gt;=1,1,TRUE,0)</f>
        <v>2</v>
      </c>
      <c r="AR18" s="350"/>
      <c r="AS18" s="350"/>
      <c r="AT18" s="350"/>
      <c r="AU18" s="353"/>
      <c r="AV18" s="191">
        <v>2</v>
      </c>
      <c r="AW18" s="191">
        <v>1</v>
      </c>
      <c r="AX18" s="187">
        <v>2</v>
      </c>
      <c r="AY18" s="252">
        <f t="shared" si="26"/>
        <v>5</v>
      </c>
      <c r="AZ18" s="192"/>
      <c r="BA18" s="181"/>
      <c r="BB18" s="193">
        <v>0</v>
      </c>
      <c r="BC18" s="252" cm="1">
        <f t="array" ref="BC18">_xlfn.IFS(BB18=0,11,TRUE,0)</f>
        <v>11</v>
      </c>
      <c r="BD18" s="183">
        <v>4</v>
      </c>
      <c r="BE18" s="183">
        <v>0</v>
      </c>
      <c r="BF18" s="183">
        <v>0</v>
      </c>
      <c r="BG18" s="252">
        <f t="shared" si="27"/>
        <v>4</v>
      </c>
      <c r="BH18" s="183">
        <v>3</v>
      </c>
      <c r="BI18" s="183">
        <v>0</v>
      </c>
      <c r="BJ18" s="183">
        <v>0</v>
      </c>
      <c r="BK18" s="252">
        <f t="shared" si="28"/>
        <v>3</v>
      </c>
    </row>
    <row r="19" spans="1:63" ht="15.75" x14ac:dyDescent="0.25">
      <c r="A19" s="180" t="s">
        <v>102</v>
      </c>
      <c r="B19" s="252">
        <f t="shared" si="15"/>
        <v>149</v>
      </c>
      <c r="C19" s="253">
        <f t="shared" si="29"/>
        <v>3</v>
      </c>
      <c r="D19" s="13">
        <f>'Lodge Rank by District'!E13</f>
        <v>23</v>
      </c>
      <c r="E19" s="9" t="str">
        <f>'Active &amp; Renewals'!C40</f>
        <v>831</v>
      </c>
      <c r="F19" s="9" t="str">
        <f>'Active &amp; Renewals'!D40</f>
        <v>798</v>
      </c>
      <c r="G19" s="2">
        <f t="shared" si="16"/>
        <v>-33</v>
      </c>
      <c r="H19" s="252" cm="1">
        <f t="array" ref="H19">_xlfn.IFS(G19&gt;20,11,G19&gt;11,10,G19&gt;2,9,G19&gt;0,8,G19&gt;-6,7,G19&gt;-11,6,G19&gt;-16,5,G19&gt;-21,4,G19&gt;-26,3,G19&gt;-31,2,G19&gt;-36,1,TRUE,0)</f>
        <v>1</v>
      </c>
      <c r="I19" s="113" t="str">
        <f>'Active &amp; Renewals'!E40</f>
        <v>81.91</v>
      </c>
      <c r="J19" s="252" cm="1">
        <f t="array" ref="J19">_xlfn.IFS(VALUE(I19)&gt;=90.5,11,VALUE(I19)&gt;=85.5,10,VALUE(I19)&gt;=80.5,9,VALUE(I19)&gt;=75.5,8,VALUE(I19)&gt;=74.5,7,VALUE(I19)&gt;=70.5,6,VALUE(I19)&gt;=64.5,5,VALUE(I19)&gt;=60.5,4,VALUE(I19)&gt;=54.5,3,VALUE(I19)&gt;=50.5,2,VALUE(I19)&gt;=44.5,1,TRUE,0)</f>
        <v>9</v>
      </c>
      <c r="K19" s="195">
        <v>3739.64</v>
      </c>
      <c r="L19" s="195">
        <f>Donations!B45</f>
        <v>6677</v>
      </c>
      <c r="M19" s="267">
        <f t="shared" si="17"/>
        <v>2937.36</v>
      </c>
      <c r="N19" s="268">
        <f t="shared" si="18"/>
        <v>1.7854659806826325</v>
      </c>
      <c r="O19" s="252" cm="1">
        <f t="array" ref="O19">_xlfn.IFS(N19&gt;=115.5%,11,N19&gt;=110.5%,10,N19&gt;=100.5%,9,N19&gt;=99.5%,8,N19&gt;=89.5%,7,N19&gt;=75.5%,6,N19&gt;=60.5%,5,N19&gt;=45.5%,4,N19&gt;=30.5%,3,N19&gt;=15.5%,2,N19&gt;=0.5%,1,TRUE,0)</f>
        <v>11</v>
      </c>
      <c r="P19" s="12">
        <f t="shared" si="19"/>
        <v>8.0348977135980739</v>
      </c>
      <c r="Q19" s="252" cm="1">
        <f t="array" ref="Q19">_xlfn.IFS(P19&gt;10,11,P19&gt;=8.01,10,P19&gt;=6.01,9,P19&gt;=4.01,8,P19=4,7,P19&gt;=3.01,6,P19&gt;=2.01,5,P19&gt;=1.51,4,P19&gt;=1.01,3,P19&gt;=0.51,2,P19&gt;=0.01,1,TRUE,0)</f>
        <v>10</v>
      </c>
      <c r="R19" s="269">
        <v>2493</v>
      </c>
      <c r="S19" s="186">
        <f>Donations!C45</f>
        <v>1300</v>
      </c>
      <c r="T19" s="279">
        <f t="shared" si="20"/>
        <v>1.5643802647412757</v>
      </c>
      <c r="U19" s="10">
        <f t="shared" si="21"/>
        <v>-1193</v>
      </c>
      <c r="V19" s="252" cm="1">
        <f t="array" ref="V19">_xlfn.IFS(T19&gt;=120%,11,T19&gt;=110.5%,10,T19&gt;=100.5%,9,T19&gt;99.9%,8,T19&gt;=85.5%,7,T19&gt;=72.5%,6,T19&gt;=65.5%,5,T19&gt;=55.5%,4,T19&gt;=45.5%,3,T19&gt;=35.5%,2,T19&gt;=20.5%,1,TRUE,0)</f>
        <v>11</v>
      </c>
      <c r="W19" s="269">
        <f t="shared" si="22"/>
        <v>124.64999999999999</v>
      </c>
      <c r="X19" s="186">
        <f>Donations!D45</f>
        <v>250</v>
      </c>
      <c r="Y19" s="269">
        <f t="shared" si="23"/>
        <v>0.30084235860409148</v>
      </c>
      <c r="Z19" s="252" cm="1">
        <f t="array" ref="Z19">_xlfn.IFS(Y19&gt;=0.26,11,Y19&gt;=0.21,10,Y19&gt;=0.16,9,Y19=0.15,8,Y19=0.14,7,Y19=0.13,6,Y19&gt;=0.11,5,Y19&gt;=0.09,4,Y19&gt;=0.07,3,Y19&gt;=0.04,2,Y19&gt;=0.01,1,TRUE,0)</f>
        <v>11</v>
      </c>
      <c r="AA19" s="8" t="str">
        <f>'Active &amp; Renewals'!F40</f>
        <v>SUPERIOR</v>
      </c>
      <c r="AB19" s="281" cm="1">
        <f t="array" ref="AB19">_xlfn.IFS(AA19="SUPERIOR",11,AA19="EXCELLENT",9,AA19="GOOD",7,AA19="LATE",5,AA19="NO GRADE",3,AA19="NA",2,AA19="NO REPORT",0)</f>
        <v>11</v>
      </c>
      <c r="AC19" s="8" t="str">
        <f>'Active &amp; Renewals'!H40</f>
        <v>SUPERIOR</v>
      </c>
      <c r="AD19" s="281" cm="1">
        <f t="array" ref="AD19">_xlfn.IFS(AC19="SUPERIOR",11,AC19="EXCELLENT",9,AC19="GOOD",7,AC19="LATE",5,AC19="NO GRADE",3,AC19="NA",2,AC19="NO REPORT",0)</f>
        <v>11</v>
      </c>
      <c r="AE19" s="284" t="str">
        <f>'Active &amp; Renewals'!J40</f>
        <v>NO REPORT</v>
      </c>
      <c r="AF19" s="281" cm="1">
        <f t="array" ref="AF19">_xlfn.IFS(AE19="SUPERIOR",11,AE19="EXCELLENT",9,AE19="GOOD",7,AE19="LATE",5,AE19="NO GRADE",3,AE19="NA",2,AE19="NO REPORT",0)</f>
        <v>0</v>
      </c>
      <c r="AG19" s="284" t="str">
        <f>'Active &amp; Renewals'!L40</f>
        <v>NO REPORT</v>
      </c>
      <c r="AH19" s="281" cm="1">
        <f t="array" ref="AH19">_xlfn.IFS(AG19="SUPERIOR",11,AG19="EXCELLENT",9,AG19="GOOD",7,AG19="LATE",5,AG19="NO GRADE",3,AG19="NA",2,AG19="NO REPORT",0)</f>
        <v>0</v>
      </c>
      <c r="AI19" s="252">
        <f t="shared" si="24"/>
        <v>22</v>
      </c>
      <c r="AJ19" s="188" t="s">
        <v>656</v>
      </c>
      <c r="AK19" s="252" cm="1">
        <f t="array" ref="AK19">_xlfn.IFS(AJ19="8/8",11,AJ19="7/8",7,AJ19="6/8",6,AJ19="5/8",5,AJ19="4/8",4,AJ19="3/8",3,AJ19="2/8",2,AJ19="1/8",1,AJ19="0/8",0,TRUE,0)</f>
        <v>7</v>
      </c>
      <c r="AL19" s="189">
        <v>3</v>
      </c>
      <c r="AM19" s="300" cm="1">
        <f t="array" ref="AM19">_xlfn.IFS(AL19&gt;6,11,AL19&gt;=4,10,AL19&gt;=2,9,AL19=1,8,TRUE,0)</f>
        <v>9</v>
      </c>
      <c r="AN19" s="283">
        <f>Donations!E45</f>
        <v>350</v>
      </c>
      <c r="AO19" s="300" cm="1">
        <f t="array" ref="AO19">_xlfn.IFS(AN19&gt;125,11,AN19&gt;=116,10,AN19&gt;=101,9,AN19=100,8,AN19&gt;=86,7,AN19&gt;=71,6,AN19&gt;=61,5,AN19&gt;=51,4,AN19&gt;=41,3,AN19&gt;=26,2,AN19&gt;=1,1,TRUE,0)</f>
        <v>11</v>
      </c>
      <c r="AP19" s="190">
        <v>100</v>
      </c>
      <c r="AQ19" s="300" cm="1">
        <f t="array" ref="AQ19">_xlfn.IFS(AP19&gt;600,11,AP19&gt;=551,10,AP19&gt;=501,9,AP19=500,8,AP19&gt;=326,7,AP19&gt;=251,6,AP19&gt;=201,5,AP19&gt;=151,4,AP19&gt;=101,3,AP19&gt;=76,2,AP19&gt;=1,1,TRUE,0)</f>
        <v>2</v>
      </c>
      <c r="AR19" s="350"/>
      <c r="AS19" s="350"/>
      <c r="AT19" s="350"/>
      <c r="AU19" s="353"/>
      <c r="AV19" s="191">
        <v>3</v>
      </c>
      <c r="AW19" s="191">
        <v>5</v>
      </c>
      <c r="AX19" s="187">
        <v>5</v>
      </c>
      <c r="AY19" s="252">
        <f t="shared" si="26"/>
        <v>13</v>
      </c>
      <c r="AZ19" s="192"/>
      <c r="BA19" s="181"/>
      <c r="BB19" s="193">
        <v>0</v>
      </c>
      <c r="BC19" s="252" cm="1">
        <f t="array" ref="BC19">_xlfn.IFS(BB19=0,11,TRUE,0)</f>
        <v>11</v>
      </c>
      <c r="BD19" s="183">
        <v>4</v>
      </c>
      <c r="BE19" s="183">
        <v>4</v>
      </c>
      <c r="BF19" s="183">
        <v>4</v>
      </c>
      <c r="BG19" s="252">
        <f t="shared" si="27"/>
        <v>12</v>
      </c>
      <c r="BH19" s="183">
        <v>3</v>
      </c>
      <c r="BI19" s="183">
        <v>3</v>
      </c>
      <c r="BJ19" s="183">
        <v>3</v>
      </c>
      <c r="BK19" s="252">
        <f t="shared" si="28"/>
        <v>9</v>
      </c>
    </row>
    <row r="20" spans="1:63" ht="15.75" x14ac:dyDescent="0.25">
      <c r="A20" s="180" t="s">
        <v>284</v>
      </c>
      <c r="B20" s="252">
        <f t="shared" si="15"/>
        <v>153</v>
      </c>
      <c r="C20" s="253">
        <f t="shared" si="29"/>
        <v>2</v>
      </c>
      <c r="D20" s="13">
        <f>'Lodge Rank by District'!E14</f>
        <v>17</v>
      </c>
      <c r="E20" s="9" t="str">
        <f>'Active &amp; Renewals'!C52</f>
        <v>1177</v>
      </c>
      <c r="F20" s="9" t="str">
        <f>'Active &amp; Renewals'!D52</f>
        <v>1080</v>
      </c>
      <c r="G20" s="2">
        <f t="shared" si="16"/>
        <v>-97</v>
      </c>
      <c r="H20" s="252" cm="1">
        <f t="array" ref="H20">_xlfn.IFS(G20&gt;20,11,G20&gt;11,10,G20&gt;2,9,G20&gt;0,8,G20&gt;-6,7,G20&gt;-11,6,G20&gt;-16,5,G20&gt;-21,4,G20&gt;-26,3,G20&gt;-31,2,G20&gt;-36,1,TRUE,0)</f>
        <v>0</v>
      </c>
      <c r="I20" s="113" t="str">
        <f>'Active &amp; Renewals'!E52</f>
        <v>81.67</v>
      </c>
      <c r="J20" s="252" cm="1">
        <f t="array" ref="J20">_xlfn.IFS(VALUE(I20)&gt;=90.5,11,VALUE(I20)&gt;=85.5,10,VALUE(I20)&gt;=80.5,9,VALUE(I20)&gt;=75.5,8,VALUE(I20)&gt;=74.5,7,VALUE(I20)&gt;=70.5,6,VALUE(I20)&gt;=64.5,5,VALUE(I20)&gt;=60.5,4,VALUE(I20)&gt;=54.5,3,VALUE(I20)&gt;=50.5,2,VALUE(I20)&gt;=44.5,1,TRUE,0)</f>
        <v>9</v>
      </c>
      <c r="K20" s="195">
        <v>6456.75</v>
      </c>
      <c r="L20" s="195">
        <f>Donations!B105</f>
        <v>4741</v>
      </c>
      <c r="M20" s="267">
        <f t="shared" si="17"/>
        <v>-1715.75</v>
      </c>
      <c r="N20" s="268">
        <f t="shared" si="18"/>
        <v>0.73427033724396951</v>
      </c>
      <c r="O20" s="252" cm="1">
        <f t="array" ref="O20">_xlfn.IFS(N20&gt;=115.5%,11,N20&gt;=110.5%,10,N20&gt;=100.5%,9,N20&gt;=99.5%,8,N20&gt;=89.5%,7,N20&gt;=75.5%,6,N20&gt;=60.5%,5,N20&gt;=45.5%,4,N20&gt;=30.5%,3,N20&gt;=15.5%,2,N20&gt;=0.5%,1,TRUE,0)</f>
        <v>5</v>
      </c>
      <c r="P20" s="12">
        <f t="shared" si="19"/>
        <v>4.02803738317757</v>
      </c>
      <c r="Q20" s="252" cm="1">
        <f t="array" ref="Q20">_xlfn.IFS(P20&gt;10,11,P20&gt;=8.01,10,P20&gt;=6.01,9,P20&gt;=4.01,8,P20=4,7,P20&gt;=3.01,6,P20&gt;=2.01,5,P20&gt;=1.51,4,P20&gt;=1.01,3,P20&gt;=0.51,2,P20&gt;=0.01,1,TRUE,0)</f>
        <v>8</v>
      </c>
      <c r="R20" s="269">
        <v>3531</v>
      </c>
      <c r="S20" s="186">
        <f>Donations!C105</f>
        <v>4531</v>
      </c>
      <c r="T20" s="279">
        <f t="shared" si="20"/>
        <v>3.8496176720475788</v>
      </c>
      <c r="U20" s="10">
        <f t="shared" si="21"/>
        <v>1000</v>
      </c>
      <c r="V20" s="252" cm="1">
        <f t="array" ref="V20">_xlfn.IFS(T20&gt;=120%,11,T20&gt;=110.5%,10,T20&gt;=100.5%,9,T20&gt;99.9%,8,T20&gt;=85.5%,7,T20&gt;=72.5%,6,T20&gt;=65.5%,5,T20&gt;=55.5%,4,T20&gt;=45.5%,3,T20&gt;=35.5%,2,T20&gt;=20.5%,1,TRUE,0)</f>
        <v>11</v>
      </c>
      <c r="W20" s="269">
        <f t="shared" si="22"/>
        <v>176.54999999999998</v>
      </c>
      <c r="X20" s="186">
        <f>Donations!D105</f>
        <v>300</v>
      </c>
      <c r="Y20" s="269">
        <f t="shared" si="23"/>
        <v>0.25488530161427359</v>
      </c>
      <c r="Z20" s="252" cm="1">
        <f t="array" ref="Z20">_xlfn.IFS(Y20&gt;=0.26,11,Y20&gt;=0.21,10,Y20&gt;=0.16,9,Y20=0.15,8,Y20=0.14,7,Y20=0.13,6,Y20&gt;=0.11,5,Y20&gt;=0.09,4,Y20&gt;=0.07,3,Y20&gt;=0.04,2,Y20&gt;=0.01,1,TRUE,0)</f>
        <v>10</v>
      </c>
      <c r="AA20" s="8" t="str">
        <f>'Active &amp; Renewals'!F52</f>
        <v>SUPERIOR</v>
      </c>
      <c r="AB20" s="281" cm="1">
        <f t="array" ref="AB20">_xlfn.IFS(AA20="SUPERIOR",11,AA20="EXCELLENT",9,AA20="GOOD",7,AA20="LATE",5,AA20="NO GRADE",3,AA20="NA",2,AA20="NO REPORT",0)</f>
        <v>11</v>
      </c>
      <c r="AC20" s="8" t="str">
        <f>'Active &amp; Renewals'!H52</f>
        <v>SUPERIOR</v>
      </c>
      <c r="AD20" s="281" cm="1">
        <f t="array" ref="AD20">_xlfn.IFS(AC20="SUPERIOR",11,AC20="EXCELLENT",9,AC20="GOOD",7,AC20="LATE",5,AC20="NO GRADE",3,AC20="NA",2,AC20="NO REPORT",0)</f>
        <v>11</v>
      </c>
      <c r="AE20" s="284" t="str">
        <f>'Active &amp; Renewals'!J52</f>
        <v>NO REPORT</v>
      </c>
      <c r="AF20" s="281" cm="1">
        <f t="array" ref="AF20">_xlfn.IFS(AE20="SUPERIOR",11,AE20="EXCELLENT",9,AE20="GOOD",7,AE20="LATE",5,AE20="NO GRADE",3,AE20="NA",2,AE20="NO REPORT",0)</f>
        <v>0</v>
      </c>
      <c r="AG20" s="284" t="str">
        <f>'Active &amp; Renewals'!L52</f>
        <v>NO REPORT</v>
      </c>
      <c r="AH20" s="281" cm="1">
        <f t="array" ref="AH20">_xlfn.IFS(AG20="SUPERIOR",11,AG20="EXCELLENT",9,AG20="GOOD",7,AG20="LATE",5,AG20="NO GRADE",3,AG20="NA",2,AG20="NO REPORT",0)</f>
        <v>0</v>
      </c>
      <c r="AI20" s="252">
        <f t="shared" si="24"/>
        <v>22</v>
      </c>
      <c r="AJ20" s="188" t="s">
        <v>656</v>
      </c>
      <c r="AK20" s="252" cm="1">
        <f t="array" ref="AK20">_xlfn.IFS(AJ20="8/8",11,AJ20="7/8",7,AJ20="6/8",6,AJ20="5/8",5,AJ20="4/8",4,AJ20="3/8",3,AJ20="2/8",2,AJ20="1/8",1,AJ20="0/8",0,TRUE,0)</f>
        <v>7</v>
      </c>
      <c r="AL20" s="189">
        <v>2</v>
      </c>
      <c r="AM20" s="300" cm="1">
        <f t="array" ref="AM20">_xlfn.IFS(AL20&gt;6,11,AL20&gt;=4,10,AL20&gt;=2,9,AL20=1,8,TRUE,0)</f>
        <v>9</v>
      </c>
      <c r="AN20" s="283">
        <f>Donations!E105</f>
        <v>200</v>
      </c>
      <c r="AO20" s="300" cm="1">
        <f t="array" ref="AO20">_xlfn.IFS(AN20&gt;125,11,AN20&gt;=116,10,AN20&gt;=101,9,AN20=100,8,AN20&gt;=86,7,AN20&gt;=71,6,AN20&gt;=61,5,AN20&gt;=51,4,AN20&gt;=41,3,AN20&gt;=26,2,AN20&gt;=1,1,TRUE,0)</f>
        <v>11</v>
      </c>
      <c r="AP20" s="190">
        <v>200</v>
      </c>
      <c r="AQ20" s="300" cm="1">
        <f t="array" ref="AQ20">_xlfn.IFS(AP20&gt;600,11,AP20&gt;=551,10,AP20&gt;=501,9,AP20=500,8,AP20&gt;=326,7,AP20&gt;=251,6,AP20&gt;=201,5,AP20&gt;=151,4,AP20&gt;=101,3,AP20&gt;=76,2,AP20&gt;=1,1,TRUE,0)</f>
        <v>4</v>
      </c>
      <c r="AR20" s="350"/>
      <c r="AS20" s="350"/>
      <c r="AT20" s="350"/>
      <c r="AU20" s="353"/>
      <c r="AV20" s="191">
        <v>5</v>
      </c>
      <c r="AW20" s="191">
        <v>5</v>
      </c>
      <c r="AX20" s="187">
        <v>4</v>
      </c>
      <c r="AY20" s="252">
        <f t="shared" si="26"/>
        <v>14</v>
      </c>
      <c r="AZ20" s="192" t="s">
        <v>651</v>
      </c>
      <c r="BA20" s="181">
        <v>11</v>
      </c>
      <c r="BB20" s="193">
        <v>0</v>
      </c>
      <c r="BC20" s="252" cm="1">
        <f t="array" ref="BC20">_xlfn.IFS(BB20=0,11,TRUE,0)</f>
        <v>11</v>
      </c>
      <c r="BD20" s="183">
        <v>4</v>
      </c>
      <c r="BE20" s="183">
        <v>4</v>
      </c>
      <c r="BF20" s="183">
        <v>4</v>
      </c>
      <c r="BG20" s="252">
        <f t="shared" si="27"/>
        <v>12</v>
      </c>
      <c r="BH20" s="183">
        <v>3</v>
      </c>
      <c r="BI20" s="183">
        <v>3</v>
      </c>
      <c r="BJ20" s="183">
        <v>3</v>
      </c>
      <c r="BK20" s="252">
        <f t="shared" si="28"/>
        <v>9</v>
      </c>
    </row>
    <row r="21" spans="1:63" ht="15.75" x14ac:dyDescent="0.25">
      <c r="A21" s="180" t="s">
        <v>101</v>
      </c>
      <c r="B21" s="252">
        <f t="shared" si="15"/>
        <v>133</v>
      </c>
      <c r="C21" s="253">
        <f t="shared" si="29"/>
        <v>4</v>
      </c>
      <c r="D21" s="13">
        <f>'Lodge Rank by District'!E15</f>
        <v>42</v>
      </c>
      <c r="E21" s="9" t="str">
        <f>'Active &amp; Renewals'!C60</f>
        <v>616</v>
      </c>
      <c r="F21" s="9" t="str">
        <f>'Active &amp; Renewals'!D60</f>
        <v>554</v>
      </c>
      <c r="G21" s="2">
        <f t="shared" si="16"/>
        <v>-62</v>
      </c>
      <c r="H21" s="252" cm="1">
        <f t="array" ref="H21">_xlfn.IFS(G21&gt;20,11,G21&gt;11,10,G21&gt;2,9,G21&gt;0,8,G21&gt;-6,7,G21&gt;-11,6,G21&gt;-16,5,G21&gt;-21,4,G21&gt;-26,3,G21&gt;-31,2,G21&gt;-36,1,TRUE,0)</f>
        <v>0</v>
      </c>
      <c r="I21" s="113" t="str">
        <f>'Active &amp; Renewals'!E60</f>
        <v>81.51</v>
      </c>
      <c r="J21" s="252" cm="1">
        <f t="array" ref="J21">_xlfn.IFS(VALUE(I21)&gt;=90.5,11,VALUE(I21)&gt;=85.5,10,VALUE(I21)&gt;=80.5,9,VALUE(I21)&gt;=75.5,8,VALUE(I21)&gt;=74.5,7,VALUE(I21)&gt;=70.5,6,VALUE(I21)&gt;=64.5,5,VALUE(I21)&gt;=60.5,4,VALUE(I21)&gt;=54.5,3,VALUE(I21)&gt;=50.5,2,VALUE(I21)&gt;=44.5,1,TRUE,0)</f>
        <v>9</v>
      </c>
      <c r="K21" s="195">
        <v>3450</v>
      </c>
      <c r="L21" s="195">
        <f>Donations!B5</f>
        <v>2400</v>
      </c>
      <c r="M21" s="267">
        <f t="shared" si="17"/>
        <v>-1050</v>
      </c>
      <c r="N21" s="268">
        <f t="shared" si="18"/>
        <v>0.69565217391304346</v>
      </c>
      <c r="O21" s="252" cm="1">
        <f t="array" ref="O21">_xlfn.IFS(N21&gt;=115.5%,11,N21&gt;=110.5%,10,N21&gt;=100.5%,9,N21&gt;=99.5%,8,N21&gt;=89.5%,7,N21&gt;=75.5%,6,N21&gt;=60.5%,5,N21&gt;=45.5%,4,N21&gt;=30.5%,3,N21&gt;=15.5%,2,N21&gt;=0.5%,1,TRUE,0)</f>
        <v>5</v>
      </c>
      <c r="P21" s="12">
        <f t="shared" si="19"/>
        <v>3.8961038961038961</v>
      </c>
      <c r="Q21" s="252" cm="1">
        <f t="array" ref="Q21">_xlfn.IFS(P21&gt;10,11,P21&gt;=8.01,10,P21&gt;=6.01,9,P21&gt;=4.01,8,P21=4,7,P21&gt;=3.01,6,P21&gt;=2.01,5,P21&gt;=1.51,4,P21&gt;=1.01,3,P21&gt;=0.51,2,P21&gt;=0.01,1,TRUE,0)</f>
        <v>6</v>
      </c>
      <c r="R21" s="269">
        <v>1848</v>
      </c>
      <c r="S21" s="186">
        <f>Donations!C5</f>
        <v>1200</v>
      </c>
      <c r="T21" s="279">
        <f t="shared" si="20"/>
        <v>1.948051948051948</v>
      </c>
      <c r="U21" s="10">
        <f t="shared" si="21"/>
        <v>-648</v>
      </c>
      <c r="V21" s="252" cm="1">
        <f t="array" ref="V21">_xlfn.IFS(T21&gt;=120%,11,T21&gt;=110.5%,10,T21&gt;=100.5%,9,T21&gt;99.9%,8,T21&gt;=85.5%,7,T21&gt;=72.5%,6,T21&gt;=65.5%,5,T21&gt;=55.5%,4,T21&gt;=45.5%,3,T21&gt;=35.5%,2,T21&gt;=20.5%,1,TRUE,0)</f>
        <v>11</v>
      </c>
      <c r="W21" s="269">
        <f t="shared" si="22"/>
        <v>92.399999999999991</v>
      </c>
      <c r="X21" s="186">
        <f>Donations!D5</f>
        <v>600</v>
      </c>
      <c r="Y21" s="269">
        <f t="shared" si="23"/>
        <v>0.97402597402597402</v>
      </c>
      <c r="Z21" s="252" cm="1">
        <f t="array" ref="Z21">_xlfn.IFS(Y21&gt;=0.26,11,Y21&gt;=0.21,10,Y21&gt;=0.16,9,Y21=0.15,8,Y21=0.14,7,Y21=0.13,6,Y21&gt;=0.11,5,Y21&gt;=0.09,4,Y21&gt;=0.07,3,Y21&gt;=0.04,2,Y21&gt;=0.01,1,TRUE,0)</f>
        <v>11</v>
      </c>
      <c r="AA21" s="8" t="str">
        <f>'Active &amp; Renewals'!F60</f>
        <v>SUPERIOR</v>
      </c>
      <c r="AB21" s="281" cm="1">
        <f t="array" ref="AB21">_xlfn.IFS(AA21="SUPERIOR",11,AA21="EXCELLENT",9,AA21="GOOD",7,AA21="LATE",5,AA21="NO GRADE",3,AA21="NA",2,AA21="NO REPORT",0)</f>
        <v>11</v>
      </c>
      <c r="AC21" s="8" t="str">
        <f>'Active &amp; Renewals'!H60</f>
        <v>SUPERIOR</v>
      </c>
      <c r="AD21" s="281" cm="1">
        <f t="array" ref="AD21">_xlfn.IFS(AC21="SUPERIOR",11,AC21="EXCELLENT",9,AC21="GOOD",7,AC21="LATE",5,AC21="NO GRADE",3,AC21="NA",2,AC21="NO REPORT",0)</f>
        <v>11</v>
      </c>
      <c r="AE21" s="284" t="str">
        <f>'Active &amp; Renewals'!J60</f>
        <v>NO REPORT</v>
      </c>
      <c r="AF21" s="281" cm="1">
        <f t="array" ref="AF21">_xlfn.IFS(AE21="SUPERIOR",11,AE21="EXCELLENT",9,AE21="GOOD",7,AE21="LATE",5,AE21="NO GRADE",3,AE21="NA",2,AE21="NO REPORT",0)</f>
        <v>0</v>
      </c>
      <c r="AG21" s="284" t="str">
        <f>'Active &amp; Renewals'!L60</f>
        <v>NO REPORT</v>
      </c>
      <c r="AH21" s="281" cm="1">
        <f t="array" ref="AH21">_xlfn.IFS(AG21="SUPERIOR",11,AG21="EXCELLENT",9,AG21="GOOD",7,AG21="LATE",5,AG21="NO GRADE",3,AG21="NA",2,AG21="NO REPORT",0)</f>
        <v>0</v>
      </c>
      <c r="AI21" s="252">
        <f t="shared" si="24"/>
        <v>22</v>
      </c>
      <c r="AJ21" s="188" t="s">
        <v>656</v>
      </c>
      <c r="AK21" s="252" cm="1">
        <f t="array" ref="AK21">_xlfn.IFS(AJ21="8/8",11,AJ21="7/8",7,AJ21="6/8",6,AJ21="5/8",5,AJ21="4/8",4,AJ21="3/8",3,AJ21="2/8",2,AJ21="1/8",1,AJ21="0/8",0,TRUE,0)</f>
        <v>7</v>
      </c>
      <c r="AL21" s="189">
        <v>2</v>
      </c>
      <c r="AM21" s="300" cm="1">
        <f t="array" ref="AM21">_xlfn.IFS(AL21&gt;6,11,AL21&gt;=4,10,AL21&gt;=2,9,AL21=1,8,TRUE,0)</f>
        <v>9</v>
      </c>
      <c r="AN21" s="283">
        <f>Donations!E5</f>
        <v>1400</v>
      </c>
      <c r="AO21" s="300" cm="1">
        <f t="array" ref="AO21">_xlfn.IFS(AN21&gt;125,11,AN21&gt;=116,10,AN21&gt;=101,9,AN21=100,8,AN21&gt;=86,7,AN21&gt;=71,6,AN21&gt;=61,5,AN21&gt;=51,4,AN21&gt;=41,3,AN21&gt;=26,2,AN21&gt;=1,1,TRUE,0)</f>
        <v>11</v>
      </c>
      <c r="AP21" s="190">
        <v>200</v>
      </c>
      <c r="AQ21" s="300" cm="1">
        <f t="array" ref="AQ21">_xlfn.IFS(AP21&gt;600,11,AP21&gt;=551,10,AP21&gt;=501,9,AP21=500,8,AP21&gt;=326,7,AP21&gt;=251,6,AP21&gt;=201,5,AP21&gt;=151,4,AP21&gt;=101,3,AP21&gt;=76,2,AP21&gt;=1,1,TRUE,0)</f>
        <v>4</v>
      </c>
      <c r="AR21" s="350"/>
      <c r="AS21" s="350"/>
      <c r="AT21" s="350"/>
      <c r="AU21" s="353"/>
      <c r="AV21" s="191">
        <v>5</v>
      </c>
      <c r="AW21" s="191">
        <v>2</v>
      </c>
      <c r="AX21" s="187">
        <v>5</v>
      </c>
      <c r="AY21" s="252">
        <f t="shared" si="26"/>
        <v>12</v>
      </c>
      <c r="AZ21" s="192"/>
      <c r="BA21" s="181"/>
      <c r="BB21" s="193">
        <v>0</v>
      </c>
      <c r="BC21" s="252" cm="1">
        <f t="array" ref="BC21">_xlfn.IFS(BB21=0,11,TRUE,0)</f>
        <v>11</v>
      </c>
      <c r="BD21" s="183">
        <v>4</v>
      </c>
      <c r="BE21" s="183">
        <v>4</v>
      </c>
      <c r="BF21" s="183">
        <v>0</v>
      </c>
      <c r="BG21" s="252">
        <f t="shared" si="27"/>
        <v>8</v>
      </c>
      <c r="BH21" s="183">
        <v>2</v>
      </c>
      <c r="BI21" s="183">
        <v>2</v>
      </c>
      <c r="BJ21" s="183">
        <v>3</v>
      </c>
      <c r="BK21" s="252">
        <f t="shared" si="28"/>
        <v>7</v>
      </c>
    </row>
    <row r="22" spans="1:63" ht="15.75" x14ac:dyDescent="0.25">
      <c r="A22" s="180" t="s">
        <v>100</v>
      </c>
      <c r="B22" s="252">
        <f t="shared" si="15"/>
        <v>63</v>
      </c>
      <c r="C22" s="253">
        <f t="shared" si="29"/>
        <v>9</v>
      </c>
      <c r="D22" s="13">
        <f>'Lodge Rank by District'!E16</f>
        <v>103</v>
      </c>
      <c r="E22" s="9" t="str">
        <f>'Active &amp; Renewals'!C61</f>
        <v>274</v>
      </c>
      <c r="F22" s="9" t="str">
        <f>'Active &amp; Renewals'!D61</f>
        <v>258</v>
      </c>
      <c r="G22" s="2">
        <f t="shared" si="16"/>
        <v>-16</v>
      </c>
      <c r="H22" s="252" cm="1">
        <f t="array" ref="H22">_xlfn.IFS(G22&gt;20,11,G22&gt;11,10,G22&gt;2,9,G22&gt;0,8,G22&gt;-6,7,G22&gt;-11,6,G22&gt;-16,5,G22&gt;-21,4,G22&gt;-26,3,G22&gt;-31,2,G22&gt;-36,1,TRUE,0)</f>
        <v>4</v>
      </c>
      <c r="I22" s="113" t="str">
        <f>'Active &amp; Renewals'!E61</f>
        <v>82.12</v>
      </c>
      <c r="J22" s="252" cm="1">
        <f t="array" ref="J22">_xlfn.IFS(VALUE(I22)&gt;=90.5,11,VALUE(I22)&gt;=85.5,10,VALUE(I22)&gt;=80.5,9,VALUE(I22)&gt;=75.5,8,VALUE(I22)&gt;=74.5,7,VALUE(I22)&gt;=70.5,6,VALUE(I22)&gt;=64.5,5,VALUE(I22)&gt;=60.5,4,VALUE(I22)&gt;=54.5,3,VALUE(I22)&gt;=50.5,2,VALUE(I22)&gt;=44.5,1,TRUE,0)</f>
        <v>9</v>
      </c>
      <c r="K22" s="195">
        <v>650</v>
      </c>
      <c r="L22" s="195">
        <f>Donations!B73</f>
        <v>889</v>
      </c>
      <c r="M22" s="267">
        <f t="shared" si="17"/>
        <v>239</v>
      </c>
      <c r="N22" s="268">
        <f t="shared" si="18"/>
        <v>1.3676923076923078</v>
      </c>
      <c r="O22" s="252" cm="1">
        <f t="array" ref="O22">_xlfn.IFS(N22&gt;=115.5%,11,N22&gt;=110.5%,10,N22&gt;=100.5%,9,N22&gt;=99.5%,8,N22&gt;=89.5%,7,N22&gt;=75.5%,6,N22&gt;=60.5%,5,N22&gt;=45.5%,4,N22&gt;=30.5%,3,N22&gt;=15.5%,2,N22&gt;=0.5%,1,TRUE,0)</f>
        <v>11</v>
      </c>
      <c r="P22" s="12">
        <f t="shared" si="19"/>
        <v>3.2445255474452557</v>
      </c>
      <c r="Q22" s="252" cm="1">
        <f t="array" ref="Q22">_xlfn.IFS(P22&gt;10,11,P22&gt;=8.01,10,P22&gt;=6.01,9,P22&gt;=4.01,8,P22=4,7,P22&gt;=3.01,6,P22&gt;=2.01,5,P22&gt;=1.51,4,P22&gt;=1.01,3,P22&gt;=0.51,2,P22&gt;=0.01,1,TRUE,0)</f>
        <v>6</v>
      </c>
      <c r="R22" s="269">
        <v>822</v>
      </c>
      <c r="S22" s="186">
        <f>Donations!C73</f>
        <v>0</v>
      </c>
      <c r="T22" s="279">
        <f t="shared" si="20"/>
        <v>0</v>
      </c>
      <c r="U22" s="10">
        <f t="shared" si="21"/>
        <v>-822</v>
      </c>
      <c r="V22" s="252" cm="1">
        <f t="array" ref="V22">_xlfn.IFS(T22&gt;=120%,11,T22&gt;=110.5%,10,T22&gt;=100.5%,9,T22&gt;99.9%,8,T22&gt;=85.5%,7,T22&gt;=72.5%,6,T22&gt;=65.5%,5,T22&gt;=55.5%,4,T22&gt;=45.5%,3,T22&gt;=35.5%,2,T22&gt;=20.5%,1,TRUE,0)</f>
        <v>0</v>
      </c>
      <c r="W22" s="269">
        <f t="shared" si="22"/>
        <v>41.1</v>
      </c>
      <c r="X22" s="186">
        <f>Donations!D73</f>
        <v>0</v>
      </c>
      <c r="Y22" s="269">
        <f t="shared" si="23"/>
        <v>0</v>
      </c>
      <c r="Z22" s="252" cm="1">
        <f t="array" ref="Z22">_xlfn.IFS(Y22&gt;=0.26,11,Y22&gt;=0.21,10,Y22&gt;=0.16,9,Y22=0.15,8,Y22=0.14,7,Y22=0.13,6,Y22&gt;=0.11,5,Y22&gt;=0.09,4,Y22&gt;=0.07,3,Y22&gt;=0.04,2,Y22&gt;=0.01,1,TRUE,0)</f>
        <v>0</v>
      </c>
      <c r="AA22" s="8" t="str">
        <f>'Active &amp; Renewals'!F61</f>
        <v>GOOD</v>
      </c>
      <c r="AB22" s="281" cm="1">
        <f t="array" ref="AB22">_xlfn.IFS(AA22="SUPERIOR",11,AA22="EXCELLENT",9,AA22="GOOD",7,AA22="LATE",5,AA22="NO GRADE",3,AA22="NA",2,AA22="NO REPORT",0)</f>
        <v>7</v>
      </c>
      <c r="AC22" s="8" t="str">
        <f>'Active &amp; Renewals'!H61</f>
        <v>GOOD</v>
      </c>
      <c r="AD22" s="281" cm="1">
        <f t="array" ref="AD22">_xlfn.IFS(AC22="SUPERIOR",11,AC22="EXCELLENT",9,AC22="GOOD",7,AC22="LATE",5,AC22="NO GRADE",3,AC22="NA",2,AC22="NO REPORT",0)</f>
        <v>7</v>
      </c>
      <c r="AE22" s="284" t="str">
        <f>'Active &amp; Renewals'!J61</f>
        <v>NO REPORT</v>
      </c>
      <c r="AF22" s="281" cm="1">
        <f t="array" ref="AF22">_xlfn.IFS(AE22="SUPERIOR",11,AE22="EXCELLENT",9,AE22="GOOD",7,AE22="LATE",5,AE22="NO GRADE",3,AE22="NA",2,AE22="NO REPORT",0)</f>
        <v>0</v>
      </c>
      <c r="AG22" s="284" t="str">
        <f>'Active &amp; Renewals'!L61</f>
        <v>NO REPORT</v>
      </c>
      <c r="AH22" s="281" cm="1">
        <f t="array" ref="AH22">_xlfn.IFS(AG22="SUPERIOR",11,AG22="EXCELLENT",9,AG22="GOOD",7,AG22="LATE",5,AG22="NO GRADE",3,AG22="NA",2,AG22="NO REPORT",0)</f>
        <v>0</v>
      </c>
      <c r="AI22" s="252">
        <f t="shared" si="24"/>
        <v>14</v>
      </c>
      <c r="AJ22" s="188" t="s">
        <v>658</v>
      </c>
      <c r="AK22" s="252" cm="1">
        <f t="array" ref="AK22">_xlfn.IFS(AJ22="8/8",11,AJ22="7/8",7,AJ22="6/8",6,AJ22="5/8",5,AJ22="4/8",4,AJ22="3/8",3,AJ22="2/8",2,AJ22="1/8",1,AJ22="0/8",0,TRUE,0)</f>
        <v>4</v>
      </c>
      <c r="AL22" s="189">
        <v>0</v>
      </c>
      <c r="AM22" s="300" cm="1">
        <f t="array" ref="AM22">_xlfn.IFS(AL22&gt;6,11,AL22&gt;=4,10,AL22&gt;=2,9,AL22=1,8,TRUE,0)</f>
        <v>0</v>
      </c>
      <c r="AN22" s="193">
        <f>Donations!E73</f>
        <v>0</v>
      </c>
      <c r="AO22" s="300" cm="1">
        <f t="array" ref="AO22">_xlfn.IFS(AN22&gt;125,11,AN22&gt;=116,10,AN22&gt;=101,9,AN22=100,8,AN22&gt;=86,7,AN22&gt;=71,6,AN22&gt;=61,5,AN22&gt;=51,4,AN22&gt;=41,3,AN22&gt;=26,2,AN22&gt;=1,1,TRUE,0)</f>
        <v>0</v>
      </c>
      <c r="AP22" s="190">
        <f>Donations!F73</f>
        <v>0</v>
      </c>
      <c r="AQ22" s="300" cm="1">
        <f t="array" ref="AQ22">_xlfn.IFS(AP22&gt;600,11,AP22&gt;=551,10,AP22&gt;=501,9,AP22=500,8,AP22&gt;=326,7,AP22&gt;=251,6,AP22&gt;=201,5,AP22&gt;=151,4,AP22&gt;=101,3,AP22&gt;=76,2,AP22&gt;=1,1,TRUE,0)</f>
        <v>0</v>
      </c>
      <c r="AR22" s="350"/>
      <c r="AS22" s="350"/>
      <c r="AT22" s="350"/>
      <c r="AU22" s="353"/>
      <c r="AV22" s="191">
        <v>1</v>
      </c>
      <c r="AW22" s="191">
        <v>0</v>
      </c>
      <c r="AX22" s="187">
        <v>2</v>
      </c>
      <c r="AY22" s="252">
        <f t="shared" si="26"/>
        <v>3</v>
      </c>
      <c r="AZ22" s="192"/>
      <c r="BA22" s="181"/>
      <c r="BB22" s="193">
        <v>0</v>
      </c>
      <c r="BC22" s="252" cm="1">
        <f t="array" ref="BC22">_xlfn.IFS(BB22=0,11,TRUE,0)</f>
        <v>11</v>
      </c>
      <c r="BD22" s="183">
        <v>0</v>
      </c>
      <c r="BE22" s="183">
        <v>0</v>
      </c>
      <c r="BF22" s="183">
        <v>1</v>
      </c>
      <c r="BG22" s="252">
        <f t="shared" si="27"/>
        <v>1</v>
      </c>
      <c r="BH22" s="183">
        <v>0</v>
      </c>
      <c r="BI22" s="183">
        <v>0</v>
      </c>
      <c r="BJ22" s="183">
        <v>0</v>
      </c>
      <c r="BK22" s="252">
        <f t="shared" si="28"/>
        <v>0</v>
      </c>
    </row>
    <row r="23" spans="1:63" ht="15.75" x14ac:dyDescent="0.25">
      <c r="A23" s="180" t="s">
        <v>99</v>
      </c>
      <c r="B23" s="252">
        <f t="shared" si="15"/>
        <v>107</v>
      </c>
      <c r="C23" s="253">
        <f t="shared" si="29"/>
        <v>7</v>
      </c>
      <c r="D23" s="13">
        <f>'Lodge Rank by District'!E17</f>
        <v>79</v>
      </c>
      <c r="E23" s="9" t="str">
        <f>'Active &amp; Renewals'!C66</f>
        <v>994</v>
      </c>
      <c r="F23" s="9" t="str">
        <f>'Active &amp; Renewals'!D66</f>
        <v>927</v>
      </c>
      <c r="G23" s="2">
        <f t="shared" si="16"/>
        <v>-67</v>
      </c>
      <c r="H23" s="252" cm="1">
        <f t="array" ref="H23">_xlfn.IFS(G23&gt;20,11,G23&gt;11,10,G23&gt;2,9,G23&gt;0,8,G23&gt;-6,7,G23&gt;-11,6,G23&gt;-16,5,G23&gt;-21,4,G23&gt;-26,3,G23&gt;-31,2,G23&gt;-36,1,TRUE,0)</f>
        <v>0</v>
      </c>
      <c r="I23" s="113" t="str">
        <f>'Active &amp; Renewals'!E66</f>
        <v>85.67</v>
      </c>
      <c r="J23" s="252" cm="1">
        <f t="array" ref="J23">_xlfn.IFS(VALUE(I23)&gt;=90.5,11,VALUE(I23)&gt;=85.5,10,VALUE(I23)&gt;=80.5,9,VALUE(I23)&gt;=75.5,8,VALUE(I23)&gt;=74.5,7,VALUE(I23)&gt;=70.5,6,VALUE(I23)&gt;=64.5,5,VALUE(I23)&gt;=60.5,4,VALUE(I23)&gt;=54.5,3,VALUE(I23)&gt;=50.5,2,VALUE(I23)&gt;=44.5,1,TRUE,0)</f>
        <v>10</v>
      </c>
      <c r="K23" s="195">
        <v>723</v>
      </c>
      <c r="L23" s="195">
        <f>Donations!B28</f>
        <v>1608</v>
      </c>
      <c r="M23" s="267">
        <f t="shared" si="17"/>
        <v>885</v>
      </c>
      <c r="N23" s="268">
        <f t="shared" si="18"/>
        <v>2.2240663900414939</v>
      </c>
      <c r="O23" s="252" cm="1">
        <f t="array" ref="O23">_xlfn.IFS(N23&gt;=115.5%,11,N23&gt;=110.5%,10,N23&gt;=100.5%,9,N23&gt;=99.5%,8,N23&gt;=89.5%,7,N23&gt;=75.5%,6,N23&gt;=60.5%,5,N23&gt;=45.5%,4,N23&gt;=30.5%,3,N23&gt;=15.5%,2,N23&gt;=0.5%,1,TRUE,0)</f>
        <v>11</v>
      </c>
      <c r="P23" s="12">
        <f t="shared" si="19"/>
        <v>1.6177062374245472</v>
      </c>
      <c r="Q23" s="252" cm="1">
        <f t="array" ref="Q23">_xlfn.IFS(P23&gt;10,11,P23&gt;=8.01,10,P23&gt;=6.01,9,P23&gt;=4.01,8,P23=4,7,P23&gt;=3.01,6,P23&gt;=2.01,5,P23&gt;=1.51,4,P23&gt;=1.01,3,P23&gt;=0.51,2,P23&gt;=0.01,1,TRUE,0)</f>
        <v>4</v>
      </c>
      <c r="R23" s="269">
        <v>2982</v>
      </c>
      <c r="S23" s="186">
        <f>Donations!C28</f>
        <v>400</v>
      </c>
      <c r="T23" s="279">
        <f t="shared" si="20"/>
        <v>0.4024144869215292</v>
      </c>
      <c r="U23" s="10">
        <f t="shared" si="21"/>
        <v>-2582</v>
      </c>
      <c r="V23" s="252" cm="1">
        <f t="array" ref="V23">_xlfn.IFS(T23&gt;=120%,11,T23&gt;=110.5%,10,T23&gt;=100.5%,9,T23&gt;99.9%,8,T23&gt;=85.5%,7,T23&gt;=72.5%,6,T23&gt;=65.5%,5,T23&gt;=55.5%,4,T23&gt;=45.5%,3,T23&gt;=35.5%,2,T23&gt;=20.5%,1,TRUE,0)</f>
        <v>2</v>
      </c>
      <c r="W23" s="269">
        <f t="shared" si="22"/>
        <v>149.1</v>
      </c>
      <c r="X23" s="186">
        <f>Donations!D28</f>
        <v>0</v>
      </c>
      <c r="Y23" s="269">
        <f t="shared" si="23"/>
        <v>0</v>
      </c>
      <c r="Z23" s="252" cm="1">
        <f t="array" ref="Z23">_xlfn.IFS(Y23&gt;=0.26,11,Y23&gt;=0.21,10,Y23&gt;=0.16,9,Y23=0.15,8,Y23=0.14,7,Y23=0.13,6,Y23&gt;=0.11,5,Y23&gt;=0.09,4,Y23&gt;=0.07,3,Y23&gt;=0.04,2,Y23&gt;=0.01,1,TRUE,0)</f>
        <v>0</v>
      </c>
      <c r="AA23" s="8" t="str">
        <f>'Active &amp; Renewals'!F66</f>
        <v>NO GRADE</v>
      </c>
      <c r="AB23" s="281" cm="1">
        <f t="array" ref="AB23">_xlfn.IFS(AA23="SUPERIOR",11,AA23="EXCELLENT",9,AA23="GOOD",7,AA23="LATE",5,AA23="NO GRADE",3,AA23="NA",2,AA23="NO REPORT",0)</f>
        <v>3</v>
      </c>
      <c r="AC23" s="8" t="str">
        <f>'Active &amp; Renewals'!H66</f>
        <v>SUPERIOR</v>
      </c>
      <c r="AD23" s="281" cm="1">
        <f t="array" ref="AD23">_xlfn.IFS(AC23="SUPERIOR",11,AC23="EXCELLENT",9,AC23="GOOD",7,AC23="LATE",5,AC23="NO GRADE",3,AC23="NA",2,AC23="NO REPORT",0)</f>
        <v>11</v>
      </c>
      <c r="AE23" s="284" t="str">
        <f>'Active &amp; Renewals'!J66</f>
        <v>NO REPORT</v>
      </c>
      <c r="AF23" s="281" cm="1">
        <f t="array" ref="AF23">_xlfn.IFS(AE23="SUPERIOR",11,AE23="EXCELLENT",9,AE23="GOOD",7,AE23="LATE",5,AE23="NO GRADE",3,AE23="NA",2,AE23="NO REPORT",0)</f>
        <v>0</v>
      </c>
      <c r="AG23" s="284" t="str">
        <f>'Active &amp; Renewals'!L66</f>
        <v>NO REPORT</v>
      </c>
      <c r="AH23" s="281" cm="1">
        <f t="array" ref="AH23">_xlfn.IFS(AG23="SUPERIOR",11,AG23="EXCELLENT",9,AG23="GOOD",7,AG23="LATE",5,AG23="NO GRADE",3,AG23="NA",2,AG23="NO REPORT",0)</f>
        <v>0</v>
      </c>
      <c r="AI23" s="252">
        <f t="shared" si="24"/>
        <v>14</v>
      </c>
      <c r="AJ23" s="188" t="s">
        <v>653</v>
      </c>
      <c r="AK23" s="252" cm="1">
        <f t="array" ref="AK23">_xlfn.IFS(AJ23="8/8",11,AJ23="7/8",7,AJ23="6/8",6,AJ23="5/8",5,AJ23="4/8",4,AJ23="3/8",3,AJ23="2/8",2,AJ23="1/8",1,AJ23="0/8",0,TRUE,0)</f>
        <v>6</v>
      </c>
      <c r="AL23" s="189">
        <v>2</v>
      </c>
      <c r="AM23" s="300" cm="1">
        <f t="array" ref="AM23">_xlfn.IFS(AL23&gt;6,11,AL23&gt;=4,10,AL23&gt;=2,9,AL23=1,8,TRUE,0)</f>
        <v>9</v>
      </c>
      <c r="AN23" s="193">
        <f>Donations!E28</f>
        <v>100</v>
      </c>
      <c r="AO23" s="300" cm="1">
        <f t="array" ref="AO23">_xlfn.IFS(AN23&gt;125,11,AN23&gt;=116,10,AN23&gt;=101,9,AN23=100,8,AN23&gt;=86,7,AN23&gt;=71,6,AN23&gt;=61,5,AN23&gt;=51,4,AN23&gt;=41,3,AN23&gt;=26,2,AN23&gt;=1,1,TRUE,0)</f>
        <v>8</v>
      </c>
      <c r="AP23" s="190">
        <f>Donations!F28</f>
        <v>50</v>
      </c>
      <c r="AQ23" s="300" cm="1">
        <f t="array" ref="AQ23">_xlfn.IFS(AP23&gt;600,11,AP23&gt;=551,10,AP23&gt;=501,9,AP23=500,8,AP23&gt;=326,7,AP23&gt;=251,6,AP23&gt;=201,5,AP23&gt;=151,4,AP23&gt;=101,3,AP23&gt;=76,2,AP23&gt;=1,1,TRUE,0)</f>
        <v>1</v>
      </c>
      <c r="AR23" s="351"/>
      <c r="AS23" s="351"/>
      <c r="AT23" s="351"/>
      <c r="AU23" s="354"/>
      <c r="AV23" s="191">
        <v>4</v>
      </c>
      <c r="AW23" s="191">
        <v>5</v>
      </c>
      <c r="AX23" s="187">
        <v>5</v>
      </c>
      <c r="AY23" s="252">
        <f t="shared" si="26"/>
        <v>14</v>
      </c>
      <c r="AZ23" s="192"/>
      <c r="BA23" s="181"/>
      <c r="BB23" s="193">
        <v>0</v>
      </c>
      <c r="BC23" s="252" cm="1">
        <f t="array" ref="BC23">_xlfn.IFS(BB23=0,11,TRUE,0)</f>
        <v>11</v>
      </c>
      <c r="BD23" s="183">
        <v>4</v>
      </c>
      <c r="BE23" s="183">
        <v>0</v>
      </c>
      <c r="BF23" s="183">
        <v>4</v>
      </c>
      <c r="BG23" s="252">
        <f t="shared" si="27"/>
        <v>8</v>
      </c>
      <c r="BH23" s="183">
        <v>3</v>
      </c>
      <c r="BI23" s="183">
        <v>3</v>
      </c>
      <c r="BJ23" s="183">
        <v>3</v>
      </c>
      <c r="BK23" s="252">
        <f t="shared" si="28"/>
        <v>9</v>
      </c>
    </row>
    <row r="24" spans="1:63" ht="18.75" x14ac:dyDescent="0.25">
      <c r="A24" s="196" t="s">
        <v>1</v>
      </c>
      <c r="B24" s="254">
        <f>SUM(B15:B23)/9</f>
        <v>121.33333333333333</v>
      </c>
      <c r="C24" s="2"/>
      <c r="D24" s="256">
        <f>'District '!C22</f>
        <v>6</v>
      </c>
      <c r="E24" s="9" t="s">
        <v>0</v>
      </c>
      <c r="F24" s="9"/>
      <c r="G24" s="1"/>
      <c r="H24" s="1"/>
      <c r="I24" s="307"/>
      <c r="J24" s="1"/>
      <c r="K24" s="210"/>
      <c r="L24" s="198">
        <f>SUM(L15:L23)</f>
        <v>25006</v>
      </c>
      <c r="M24" s="4"/>
      <c r="N24" s="97"/>
      <c r="O24" s="1"/>
      <c r="P24" s="3"/>
      <c r="Q24" s="1"/>
      <c r="R24" s="267" t="s">
        <v>0</v>
      </c>
      <c r="S24" s="202"/>
      <c r="T24" s="97"/>
      <c r="U24" s="1"/>
      <c r="V24" s="1"/>
      <c r="W24" s="1"/>
      <c r="X24" s="285"/>
      <c r="Y24" s="269"/>
      <c r="Z24" s="1"/>
      <c r="AA24" s="2"/>
      <c r="AB24" s="2"/>
      <c r="AC24" s="2"/>
      <c r="AD24" s="2"/>
      <c r="AE24" s="7"/>
      <c r="AF24" s="18"/>
      <c r="AG24" s="286"/>
      <c r="AH24" s="287"/>
      <c r="AI24" s="1"/>
      <c r="AJ24" s="204"/>
      <c r="AK24" s="1"/>
      <c r="AL24" s="197"/>
      <c r="AM24" s="1"/>
      <c r="AN24" s="205"/>
      <c r="AO24" s="1"/>
      <c r="AP24" s="206"/>
      <c r="AQ24" s="1"/>
      <c r="AR24" s="213"/>
      <c r="AS24" s="213"/>
      <c r="AT24" s="207"/>
      <c r="AU24"/>
      <c r="AV24" s="214"/>
      <c r="AW24" s="214"/>
      <c r="AX24" s="209"/>
      <c r="AY24" s="1"/>
      <c r="AZ24" s="204"/>
      <c r="BA24" s="197"/>
      <c r="BB24" s="210"/>
      <c r="BC24" s="1"/>
      <c r="BD24" s="197"/>
      <c r="BE24" s="197"/>
      <c r="BF24" s="197"/>
      <c r="BG24" s="1"/>
      <c r="BH24" s="197"/>
      <c r="BI24" s="197"/>
      <c r="BJ24" s="211"/>
      <c r="BK24" s="1"/>
    </row>
    <row r="25" spans="1:63" ht="18.75" x14ac:dyDescent="0.25">
      <c r="A25" s="215"/>
      <c r="B25" s="257"/>
      <c r="C25" s="257"/>
      <c r="D25" s="258"/>
      <c r="E25" s="27"/>
      <c r="F25" s="27"/>
      <c r="G25" s="17"/>
      <c r="H25" s="17"/>
      <c r="I25" s="308"/>
      <c r="J25" s="257"/>
      <c r="K25" s="218"/>
      <c r="L25" s="218"/>
      <c r="M25" s="270"/>
      <c r="N25" s="271"/>
      <c r="O25" s="257"/>
      <c r="P25" s="272"/>
      <c r="Q25" s="257"/>
      <c r="R25" s="273" t="s">
        <v>0</v>
      </c>
      <c r="S25" s="219"/>
      <c r="T25" s="271"/>
      <c r="U25" s="257"/>
      <c r="V25" s="257"/>
      <c r="W25" s="257"/>
      <c r="X25" s="288"/>
      <c r="Y25" s="289"/>
      <c r="Z25" s="257"/>
      <c r="AA25" s="258"/>
      <c r="AB25" s="258"/>
      <c r="AC25" s="258"/>
      <c r="AD25" s="258"/>
      <c r="AE25" s="290"/>
      <c r="AF25" s="23"/>
      <c r="AG25" s="291"/>
      <c r="AH25"/>
      <c r="AI25" s="257"/>
      <c r="AJ25" s="221"/>
      <c r="AK25" s="257"/>
      <c r="AL25" s="216"/>
      <c r="AM25" s="257"/>
      <c r="AN25" s="222"/>
      <c r="AO25" s="257"/>
      <c r="AP25" s="223"/>
      <c r="AQ25" s="257"/>
      <c r="AR25" s="224"/>
      <c r="AS25" s="224"/>
      <c r="AT25" s="224"/>
      <c r="AU25" s="257"/>
      <c r="AV25" s="225"/>
      <c r="AW25" s="225"/>
      <c r="AX25" s="224"/>
      <c r="AY25" s="257"/>
      <c r="AZ25" s="221"/>
      <c r="BA25" s="216"/>
      <c r="BB25" s="218"/>
      <c r="BC25" s="257"/>
      <c r="BD25" s="216"/>
      <c r="BE25" s="216"/>
      <c r="BF25" s="216"/>
      <c r="BG25" s="257"/>
      <c r="BH25" s="216"/>
      <c r="BI25" s="216"/>
      <c r="BJ25" s="216"/>
      <c r="BK25" s="17"/>
    </row>
    <row r="26" spans="1:63" ht="18.75" x14ac:dyDescent="0.25">
      <c r="A26" s="196" t="s">
        <v>98</v>
      </c>
      <c r="B26" s="2"/>
      <c r="C26" s="2"/>
      <c r="D26" s="2"/>
      <c r="E26" s="5"/>
      <c r="F26" s="5"/>
      <c r="G26" s="1"/>
      <c r="H26" s="1"/>
      <c r="I26" s="307"/>
      <c r="J26" s="1"/>
      <c r="K26" s="210"/>
      <c r="L26" s="210"/>
      <c r="M26" s="4"/>
      <c r="N26" s="97"/>
      <c r="O26" s="1"/>
      <c r="P26" s="3"/>
      <c r="Q26" s="1"/>
      <c r="R26" s="267" t="s">
        <v>0</v>
      </c>
      <c r="S26" s="202"/>
      <c r="T26" s="97"/>
      <c r="U26" s="1"/>
      <c r="V26" s="1"/>
      <c r="W26" s="1"/>
      <c r="X26" s="285"/>
      <c r="Y26" s="269"/>
      <c r="Z26" s="1"/>
      <c r="AA26" s="2"/>
      <c r="AB26" s="2"/>
      <c r="AC26" s="2"/>
      <c r="AD26" s="2"/>
      <c r="AE26" s="7"/>
      <c r="AF26" s="18"/>
      <c r="AG26" s="7"/>
      <c r="AH26" s="2"/>
      <c r="AI26" s="1"/>
      <c r="AJ26" s="204"/>
      <c r="AK26" s="1"/>
      <c r="AL26" s="197"/>
      <c r="AM26" s="1"/>
      <c r="AN26" s="205"/>
      <c r="AO26" s="1"/>
      <c r="AP26" s="206"/>
      <c r="AQ26" s="1"/>
      <c r="AR26" s="207"/>
      <c r="AS26" s="207"/>
      <c r="AT26" s="207"/>
      <c r="AU26" s="275"/>
      <c r="AV26" s="212"/>
      <c r="AW26" s="212"/>
      <c r="AX26" s="209"/>
      <c r="AY26" s="1"/>
      <c r="AZ26" s="204"/>
      <c r="BA26" s="197"/>
      <c r="BB26" s="210"/>
      <c r="BC26" s="1"/>
      <c r="BD26" s="197"/>
      <c r="BE26" s="197"/>
      <c r="BF26" s="197"/>
      <c r="BG26" s="1"/>
      <c r="BH26" s="197"/>
      <c r="BI26" s="197"/>
      <c r="BJ26" s="211"/>
      <c r="BK26" s="1"/>
    </row>
    <row r="27" spans="1:63" ht="15.75" x14ac:dyDescent="0.25">
      <c r="A27" s="180" t="s">
        <v>97</v>
      </c>
      <c r="B27" s="252">
        <f t="shared" ref="B27:B36" si="30">+H27+J27+O27+Q27+V27+Z27+AI27+AK27+AM27+AO27+AQ27+AY27+BA27+BC27+BG27+BK27</f>
        <v>103</v>
      </c>
      <c r="C27" s="253">
        <f>RANK(B27,$B$27:$B$36)</f>
        <v>10</v>
      </c>
      <c r="D27" s="13">
        <f>'Lodge Rank by District'!E18</f>
        <v>81</v>
      </c>
      <c r="E27" s="9" t="str">
        <f>'Active &amp; Renewals'!C30</f>
        <v>417</v>
      </c>
      <c r="F27" s="9" t="str">
        <f>'Active &amp; Renewals'!D30</f>
        <v>361</v>
      </c>
      <c r="G27" s="2">
        <f t="shared" ref="G27:G36" si="31">+F27-E27</f>
        <v>-56</v>
      </c>
      <c r="H27" s="252" cm="1">
        <f t="array" ref="H27">_xlfn.IFS(G27&gt;20,11,G27&gt;11,10,G27&gt;2,9,G27&gt;0,8,G27&gt;-6,7,G27&gt;-11,6,G27&gt;-16,5,G27&gt;-21,4,G27&gt;-26,3,G27&gt;-31,2,G27&gt;-36,1,TRUE,0)</f>
        <v>0</v>
      </c>
      <c r="I27" s="113" t="str">
        <f>'Active &amp; Renewals'!E30</f>
        <v>82.49</v>
      </c>
      <c r="J27" s="252" cm="1">
        <f t="array" ref="J27">_xlfn.IFS(VALUE(I27)&gt;=90.5,11,VALUE(I27)&gt;=85.5,10,VALUE(I27)&gt;=80.5,9,VALUE(I27)&gt;=75.5,8,VALUE(I27)&gt;=74.5,7,VALUE(I27)&gt;=70.5,6,VALUE(I27)&gt;=64.5,5,VALUE(I27)&gt;=60.5,4,VALUE(I27)&gt;=54.5,3,VALUE(I27)&gt;=50.5,2,VALUE(I27)&gt;=44.5,1,TRUE,0)</f>
        <v>9</v>
      </c>
      <c r="K27" s="195">
        <v>2615.64</v>
      </c>
      <c r="L27" s="195">
        <f>Donations!B64</f>
        <v>1930.35</v>
      </c>
      <c r="M27" s="267">
        <f t="shared" ref="M27:M36" si="32">+L27-K27</f>
        <v>-685.29</v>
      </c>
      <c r="N27" s="268">
        <f t="shared" ref="N27:N36" si="33">+L27/K27</f>
        <v>0.73800293618387847</v>
      </c>
      <c r="O27" s="252" cm="1">
        <f t="array" ref="O27">_xlfn.IFS(N27&gt;=115.5%,11,N27&gt;=110.5%,10,N27&gt;=100.5%,9,N27&gt;=99.5%,8,N27&gt;=89.5%,7,N27&gt;=75.5%,6,N27&gt;=60.5%,5,N27&gt;=45.5%,4,N27&gt;=30.5%,3,N27&gt;=15.5%,2,N27&gt;=0.5%,1,TRUE,0)</f>
        <v>5</v>
      </c>
      <c r="P27" s="12">
        <f t="shared" ref="P27:P36" si="34">+L27/E27</f>
        <v>4.6291366906474822</v>
      </c>
      <c r="Q27" s="252" cm="1">
        <f t="array" ref="Q27">_xlfn.IFS(P27&gt;10,11,P27&gt;=8.01,10,P27&gt;=6.01,9,P27&gt;=4.01,8,P27=4,7,P27&gt;=3.01,6,P27&gt;=2.01,5,P27&gt;=1.51,4,P27&gt;=1.01,3,P27&gt;=0.51,2,P27&gt;=0.01,1,TRUE,0)</f>
        <v>8</v>
      </c>
      <c r="R27" s="269">
        <v>1251</v>
      </c>
      <c r="S27" s="186">
        <f>Donations!C64</f>
        <v>0</v>
      </c>
      <c r="T27" s="279">
        <f t="shared" ref="T27:T36" si="35">+S27/(R27/3)</f>
        <v>0</v>
      </c>
      <c r="U27" s="10">
        <f t="shared" ref="U27:U36" si="36">+S27-R27</f>
        <v>-1251</v>
      </c>
      <c r="V27" s="252" cm="1">
        <f t="array" ref="V27">_xlfn.IFS(T27&gt;=120%,11,T27&gt;=110.5%,10,T27&gt;=100.5%,9,T27&gt;99.9%,8,T27&gt;=85.5%,7,T27&gt;=72.5%,6,T27&gt;=65.5%,5,T27&gt;=55.5%,4,T27&gt;=45.5%,3,T27&gt;=35.5%,2,T27&gt;=20.5%,1,TRUE,0)</f>
        <v>0</v>
      </c>
      <c r="W27" s="269">
        <f t="shared" ref="W27:W36" si="37">E27*0.15</f>
        <v>62.55</v>
      </c>
      <c r="X27" s="186">
        <f>Donations!D64</f>
        <v>191</v>
      </c>
      <c r="Y27" s="269">
        <f t="shared" ref="Y27:Y36" si="38">+X27/E27</f>
        <v>0.45803357314148679</v>
      </c>
      <c r="Z27" s="252" cm="1">
        <f t="array" ref="Z27">_xlfn.IFS(Y27&gt;=0.26,11,Y27&gt;=0.21,10,Y27&gt;=0.16,9,Y27=0.15,8,Y27=0.14,7,Y27=0.13,6,Y27&gt;=0.11,5,Y27&gt;=0.09,4,Y27&gt;=0.07,3,Y27&gt;=0.04,2,Y27&gt;=0.01,1,TRUE,0)</f>
        <v>11</v>
      </c>
      <c r="AA27" s="8" t="str">
        <f>'Active &amp; Renewals'!F30</f>
        <v>NO GRADE</v>
      </c>
      <c r="AB27" s="281" cm="1">
        <f t="array" ref="AB27">_xlfn.IFS(AA27="SUPERIOR",11,AA27="EXCELLENT",9,AA27="GOOD",7,AA27="LATE",5,AA27="NO GRADE",3,AA27="NA",2,AA27="NO REPORT",0)</f>
        <v>3</v>
      </c>
      <c r="AC27" s="8" t="str">
        <f>'Active &amp; Renewals'!H30</f>
        <v>EXCELLENT</v>
      </c>
      <c r="AD27" s="281" cm="1">
        <f t="array" ref="AD27">_xlfn.IFS(AC27="SUPERIOR",11,AC27="EXCELLENT",9,AC27="GOOD",7,AC27="LATE",5,AC27="NO GRADE",3,AC27="NA",2,AC27="NO REPORT",0)</f>
        <v>9</v>
      </c>
      <c r="AE27" s="284" t="str">
        <f>'Active &amp; Renewals'!J30</f>
        <v>NO REPORT</v>
      </c>
      <c r="AF27" s="281" cm="1">
        <f t="array" ref="AF27">_xlfn.IFS(AE27="SUPERIOR",11,AE27="EXCELLENT",9,AE27="GOOD",7,AE27="LATE",5,AE27="NO GRADE",3,AE27="NA",2,AE27="NO REPORT",0)</f>
        <v>0</v>
      </c>
      <c r="AG27" s="284" t="str">
        <f>'Active &amp; Renewals'!L30</f>
        <v>NO REPORT</v>
      </c>
      <c r="AH27" s="281" cm="1">
        <f t="array" ref="AH27">_xlfn.IFS(AG27="SUPERIOR",11,AG27="EXCELLENT",9,AG27="GOOD",7,AG27="LATE",5,AG27="NO GRADE",3,AG27="NA",2,AG27="NO REPORT",0)</f>
        <v>0</v>
      </c>
      <c r="AI27" s="252">
        <f t="shared" ref="AI27:AI36" si="39">SUM(AB27+AD27+AF27+AH27)</f>
        <v>12</v>
      </c>
      <c r="AJ27" s="188" t="s">
        <v>657</v>
      </c>
      <c r="AK27" s="252" cm="1">
        <f t="array" ref="AK27">_xlfn.IFS(AJ27="8/8",11,AJ27="7/8",7,AJ27="6/8",6,AJ27="5/8",5,AJ27="4/8",4,AJ27="3/8",3,AJ27="2/8",2,AJ27="1/8",1,AJ27="0/8",0,TRUE,0)</f>
        <v>3</v>
      </c>
      <c r="AL27" s="189">
        <v>2</v>
      </c>
      <c r="AM27" s="300" cm="1">
        <f t="array" ref="AM27">_xlfn.IFS(AL27&gt;6,11,AL27&gt;=4,10,AL27&gt;=2,9,AL27=1,8,TRUE,0)</f>
        <v>9</v>
      </c>
      <c r="AN27" s="283">
        <f>Donations!E64</f>
        <v>136</v>
      </c>
      <c r="AO27" s="300" cm="1">
        <f t="array" ref="AO27">_xlfn.IFS(AN27&gt;125,11,AN27&gt;=116,10,AN27&gt;=101,9,AN27=100,8,AN27&gt;=86,7,AN27&gt;=71,6,AN27&gt;=61,5,AN27&gt;=51,4,AN27&gt;=41,3,AN27&gt;=26,2,AN27&gt;=1,1,TRUE,0)</f>
        <v>11</v>
      </c>
      <c r="AP27" s="190">
        <f>Donations!F64</f>
        <v>0</v>
      </c>
      <c r="AQ27" s="300" cm="1">
        <f t="array" ref="AQ27">_xlfn.IFS(AP27&gt;600,11,AP27&gt;=551,10,AP27&gt;=501,9,AP27=500,8,AP27&gt;=326,7,AP27&gt;=251,6,AP27&gt;=201,5,AP27&gt;=151,4,AP27&gt;=101,3,AP27&gt;=76,2,AP27&gt;=1,1,TRUE,0)</f>
        <v>0</v>
      </c>
      <c r="AR27" s="349">
        <v>5</v>
      </c>
      <c r="AS27" s="349">
        <v>5</v>
      </c>
      <c r="AT27" s="349">
        <v>5</v>
      </c>
      <c r="AU27" s="352">
        <f t="shared" ref="AU27" si="40">+AR27+AS27+AT27</f>
        <v>15</v>
      </c>
      <c r="AV27" s="191">
        <v>5</v>
      </c>
      <c r="AW27" s="191">
        <v>2</v>
      </c>
      <c r="AX27" s="187">
        <v>2</v>
      </c>
      <c r="AY27" s="252">
        <f t="shared" ref="AY27:AY36" si="41">+AV27+AW27+AX27</f>
        <v>9</v>
      </c>
      <c r="AZ27" s="192"/>
      <c r="BA27" s="181"/>
      <c r="BB27" s="193">
        <v>0</v>
      </c>
      <c r="BC27" s="252" cm="1">
        <f t="array" ref="BC27">_xlfn.IFS(BB27=0,11,TRUE,0)</f>
        <v>11</v>
      </c>
      <c r="BD27" s="183">
        <v>4</v>
      </c>
      <c r="BE27" s="183">
        <v>4</v>
      </c>
      <c r="BF27" s="183">
        <v>4</v>
      </c>
      <c r="BG27" s="252">
        <f t="shared" ref="BG27:BG36" si="42">SUM(BD27+BE27+BF27)</f>
        <v>12</v>
      </c>
      <c r="BH27" s="183">
        <v>0</v>
      </c>
      <c r="BI27" s="183">
        <v>3</v>
      </c>
      <c r="BJ27" s="183">
        <v>0</v>
      </c>
      <c r="BK27" s="252">
        <f t="shared" ref="BK27:BK36" si="43">SUM(BH27+BI27+BJ27)</f>
        <v>3</v>
      </c>
    </row>
    <row r="28" spans="1:63" ht="15.75" x14ac:dyDescent="0.25">
      <c r="A28" s="180" t="s">
        <v>96</v>
      </c>
      <c r="B28" s="252">
        <f t="shared" si="30"/>
        <v>164</v>
      </c>
      <c r="C28" s="253">
        <f t="shared" ref="C28:C36" si="44">RANK(B28,$B$27:$B$36)</f>
        <v>1</v>
      </c>
      <c r="D28" s="13">
        <f>'Lodge Rank by District'!E19</f>
        <v>7</v>
      </c>
      <c r="E28" s="9" t="str">
        <f>'Active &amp; Renewals'!C33</f>
        <v>305</v>
      </c>
      <c r="F28" s="9" t="str">
        <f>'Active &amp; Renewals'!D33</f>
        <v>314</v>
      </c>
      <c r="G28" s="2">
        <f t="shared" si="31"/>
        <v>9</v>
      </c>
      <c r="H28" s="252" cm="1">
        <f t="array" ref="H28">_xlfn.IFS(G28&gt;20,11,G28&gt;11,10,G28&gt;2,9,G28&gt;0,8,G28&gt;-6,7,G28&gt;-11,6,G28&gt;-16,5,G28&gt;-21,4,G28&gt;-26,3,G28&gt;-31,2,G28&gt;-36,1,TRUE,0)</f>
        <v>9</v>
      </c>
      <c r="I28" s="113" t="str">
        <f>'Active &amp; Renewals'!E33</f>
        <v>85.15</v>
      </c>
      <c r="J28" s="252" cm="1">
        <f t="array" ref="J28">_xlfn.IFS(VALUE(I28)&gt;=90.5,11,VALUE(I28)&gt;=85.5,10,VALUE(I28)&gt;=80.5,9,VALUE(I28)&gt;=75.5,8,VALUE(I28)&gt;=74.5,7,VALUE(I28)&gt;=70.5,6,VALUE(I28)&gt;=64.5,5,VALUE(I28)&gt;=60.5,4,VALUE(I28)&gt;=54.5,3,VALUE(I28)&gt;=50.5,2,VALUE(I28)&gt;=44.5,1,TRUE,0)</f>
        <v>9</v>
      </c>
      <c r="K28" s="195">
        <v>6192</v>
      </c>
      <c r="L28" s="195">
        <f>Donations!B86</f>
        <v>6987</v>
      </c>
      <c r="M28" s="267">
        <f t="shared" si="32"/>
        <v>795</v>
      </c>
      <c r="N28" s="268">
        <f t="shared" si="33"/>
        <v>1.1283914728682169</v>
      </c>
      <c r="O28" s="252" cm="1">
        <f t="array" ref="O28">_xlfn.IFS(N28&gt;=115.5%,11,N28&gt;=110.5%,10,N28&gt;=100.5%,9,N28&gt;=99.5%,8,N28&gt;=89.5%,7,N28&gt;=75.5%,6,N28&gt;=60.5%,5,N28&gt;=45.5%,4,N28&gt;=30.5%,3,N28&gt;=15.5%,2,N28&gt;=0.5%,1,TRUE,0)</f>
        <v>10</v>
      </c>
      <c r="P28" s="12">
        <f t="shared" si="34"/>
        <v>22.908196721311477</v>
      </c>
      <c r="Q28" s="252" cm="1">
        <f t="array" ref="Q28">_xlfn.IFS(P28&gt;10,11,P28&gt;=8.01,10,P28&gt;=6.01,9,P28&gt;=4.01,8,P28=4,7,P28&gt;=3.01,6,P28&gt;=2.01,5,P28&gt;=1.51,4,P28&gt;=1.01,3,P28&gt;=0.51,2,P28&gt;=0.01,1,TRUE,0)</f>
        <v>11</v>
      </c>
      <c r="R28" s="269">
        <v>915</v>
      </c>
      <c r="S28" s="186">
        <f>Donations!C86</f>
        <v>375</v>
      </c>
      <c r="T28" s="279">
        <f t="shared" si="35"/>
        <v>1.2295081967213115</v>
      </c>
      <c r="U28" s="10">
        <f t="shared" si="36"/>
        <v>-540</v>
      </c>
      <c r="V28" s="252" cm="1">
        <f t="array" ref="V28">_xlfn.IFS(T28&gt;=120%,11,T28&gt;=110.5%,10,T28&gt;=100.5%,9,T28&gt;99.9%,8,T28&gt;=85.5%,7,T28&gt;=72.5%,6,T28&gt;=65.5%,5,T28&gt;=55.5%,4,T28&gt;=45.5%,3,T28&gt;=35.5%,2,T28&gt;=20.5%,1,TRUE,0)</f>
        <v>11</v>
      </c>
      <c r="W28" s="269">
        <f t="shared" si="37"/>
        <v>45.75</v>
      </c>
      <c r="X28" s="186">
        <f>Donations!D86</f>
        <v>75</v>
      </c>
      <c r="Y28" s="269">
        <f t="shared" si="38"/>
        <v>0.24590163934426229</v>
      </c>
      <c r="Z28" s="252" cm="1">
        <f t="array" ref="Z28">_xlfn.IFS(Y28&gt;=0.26,11,Y28&gt;=0.21,10,Y28&gt;=0.16,9,Y28=0.15,8,Y28=0.14,7,Y28=0.13,6,Y28&gt;=0.11,5,Y28&gt;=0.09,4,Y28&gt;=0.07,3,Y28&gt;=0.04,2,Y28&gt;=0.01,1,TRUE,0)</f>
        <v>10</v>
      </c>
      <c r="AA28" s="8" t="str">
        <f>'Active &amp; Renewals'!F33</f>
        <v>SUPERIOR</v>
      </c>
      <c r="AB28" s="281" cm="1">
        <f t="array" ref="AB28">_xlfn.IFS(AA28="SUPERIOR",11,AA28="EXCELLENT",9,AA28="GOOD",7,AA28="LATE",5,AA28="NO GRADE",3,AA28="NA",2,AA28="NO REPORT",0)</f>
        <v>11</v>
      </c>
      <c r="AC28" s="8" t="str">
        <f>'Active &amp; Renewals'!H33</f>
        <v>SUPERIOR</v>
      </c>
      <c r="AD28" s="281" cm="1">
        <f t="array" ref="AD28">_xlfn.IFS(AC28="SUPERIOR",11,AC28="EXCELLENT",9,AC28="GOOD",7,AC28="LATE",5,AC28="NO GRADE",3,AC28="NA",2,AC28="NO REPORT",0)</f>
        <v>11</v>
      </c>
      <c r="AE28" s="284" t="str">
        <f>'Active &amp; Renewals'!J33</f>
        <v>NO REPORT</v>
      </c>
      <c r="AF28" s="281" cm="1">
        <f t="array" ref="AF28">_xlfn.IFS(AE28="SUPERIOR",11,AE28="EXCELLENT",9,AE28="GOOD",7,AE28="LATE",5,AE28="NO GRADE",3,AE28="NA",2,AE28="NO REPORT",0)</f>
        <v>0</v>
      </c>
      <c r="AG28" s="284" t="str">
        <f>'Active &amp; Renewals'!L33</f>
        <v>NO REPORT</v>
      </c>
      <c r="AH28" s="281" cm="1">
        <f t="array" ref="AH28">_xlfn.IFS(AG28="SUPERIOR",11,AG28="EXCELLENT",9,AG28="GOOD",7,AG28="LATE",5,AG28="NO GRADE",3,AG28="NA",2,AG28="NO REPORT",0)</f>
        <v>0</v>
      </c>
      <c r="AI28" s="252">
        <f t="shared" si="39"/>
        <v>22</v>
      </c>
      <c r="AJ28" s="188" t="s">
        <v>659</v>
      </c>
      <c r="AK28" s="252" cm="1">
        <f t="array" ref="AK28">_xlfn.IFS(AJ28="8/8",11,AJ28="7/8",7,AJ28="6/8",6,AJ28="5/8",5,AJ28="4/8",4,AJ28="3/8",3,AJ28="2/8",2,AJ28="1/8",1,AJ28="0/8",0,AJ28="6/6",11,AJ28="5/6",7,AJ28="4/6",5,AD28="3/6",4,AD28="2/6",2,AD28="1/6",1,TRUE,0)</f>
        <v>11</v>
      </c>
      <c r="AL28" s="189">
        <v>6</v>
      </c>
      <c r="AM28" s="300" cm="1">
        <f t="array" ref="AM28">_xlfn.IFS(AL28&gt;6,11,AL28&gt;=4,10,AL28&gt;=2,9,AL28=1,8,TRUE,0)</f>
        <v>10</v>
      </c>
      <c r="AN28" s="283">
        <f>Donations!E86</f>
        <v>130</v>
      </c>
      <c r="AO28" s="300" cm="1">
        <f t="array" ref="AO28">_xlfn.IFS(AN28&gt;125,11,AN28&gt;=116,10,AN28&gt;=101,9,AN28=100,8,AN28&gt;=86,7,AN28&gt;=71,6,AN28&gt;=61,5,AN28&gt;=51,4,AN28&gt;=41,3,AN28&gt;=26,2,AN28&gt;=1,1,TRUE,0)</f>
        <v>11</v>
      </c>
      <c r="AP28" s="190">
        <f>Donations!F86</f>
        <v>176</v>
      </c>
      <c r="AQ28" s="300" cm="1">
        <f t="array" ref="AQ28">_xlfn.IFS(AP28&gt;600,11,AP28&gt;=551,10,AP28&gt;=501,9,AP28=500,8,AP28&gt;=326,7,AP28&gt;=251,6,AP28&gt;=201,5,AP28&gt;=151,4,AP28&gt;=101,3,AP28&gt;=76,2,AP28&gt;=1,1,TRUE,0)</f>
        <v>4</v>
      </c>
      <c r="AR28" s="350"/>
      <c r="AS28" s="350"/>
      <c r="AT28" s="350"/>
      <c r="AU28" s="353"/>
      <c r="AV28" s="191">
        <v>4</v>
      </c>
      <c r="AW28" s="191">
        <v>5</v>
      </c>
      <c r="AX28" s="187">
        <v>5</v>
      </c>
      <c r="AY28" s="252">
        <f t="shared" si="41"/>
        <v>14</v>
      </c>
      <c r="AZ28" s="192"/>
      <c r="BA28" s="181"/>
      <c r="BB28" s="193">
        <v>0</v>
      </c>
      <c r="BC28" s="252" cm="1">
        <f t="array" ref="BC28">_xlfn.IFS(BB28=0,11,TRUE,0)</f>
        <v>11</v>
      </c>
      <c r="BD28" s="183">
        <v>4</v>
      </c>
      <c r="BE28" s="183">
        <v>4</v>
      </c>
      <c r="BF28" s="183">
        <v>4</v>
      </c>
      <c r="BG28" s="252">
        <f t="shared" si="42"/>
        <v>12</v>
      </c>
      <c r="BH28" s="183">
        <v>3</v>
      </c>
      <c r="BI28" s="183">
        <v>3</v>
      </c>
      <c r="BJ28" s="183">
        <v>3</v>
      </c>
      <c r="BK28" s="252">
        <f t="shared" si="43"/>
        <v>9</v>
      </c>
    </row>
    <row r="29" spans="1:63" ht="15.75" x14ac:dyDescent="0.25">
      <c r="A29" s="180" t="s">
        <v>95</v>
      </c>
      <c r="B29" s="252">
        <f t="shared" si="30"/>
        <v>108</v>
      </c>
      <c r="C29" s="253">
        <f t="shared" si="44"/>
        <v>9</v>
      </c>
      <c r="D29" s="13">
        <f>'Lodge Rank by District'!E20</f>
        <v>76</v>
      </c>
      <c r="E29" s="9" t="str">
        <f>'Active &amp; Renewals'!C70</f>
        <v>302</v>
      </c>
      <c r="F29" s="9" t="str">
        <f>'Active &amp; Renewals'!D70</f>
        <v>410</v>
      </c>
      <c r="G29" s="2">
        <f t="shared" si="31"/>
        <v>108</v>
      </c>
      <c r="H29" s="252" cm="1">
        <f t="array" ref="H29">_xlfn.IFS(G29&gt;20,11,G29&gt;11,10,G29&gt;2,9,G29&gt;0,8,G29&gt;-6,7,G29&gt;-11,6,G29&gt;-16,5,G29&gt;-21,4,G29&gt;-26,3,G29&gt;-31,2,G29&gt;-36,1,TRUE,0)</f>
        <v>11</v>
      </c>
      <c r="I29" s="113" t="str">
        <f>'Active &amp; Renewals'!E70</f>
        <v>87.42</v>
      </c>
      <c r="J29" s="252" cm="1">
        <f t="array" ref="J29">_xlfn.IFS(VALUE(I29)&gt;=90.5,11,VALUE(I29)&gt;=85.5,10,VALUE(I29)&gt;=80.5,9,VALUE(I29)&gt;=75.5,8,VALUE(I29)&gt;=74.5,7,VALUE(I29)&gt;=70.5,6,VALUE(I29)&gt;=64.5,5,VALUE(I29)&gt;=60.5,4,VALUE(I29)&gt;=54.5,3,VALUE(I29)&gt;=50.5,2,VALUE(I29)&gt;=44.5,1,TRUE,0)</f>
        <v>10</v>
      </c>
      <c r="K29" s="195">
        <v>498</v>
      </c>
      <c r="L29" s="195">
        <f>Donations!B87</f>
        <v>703</v>
      </c>
      <c r="M29" s="267">
        <f t="shared" si="32"/>
        <v>205</v>
      </c>
      <c r="N29" s="268">
        <f t="shared" si="33"/>
        <v>1.4116465863453815</v>
      </c>
      <c r="O29" s="252" cm="1">
        <f t="array" ref="O29">_xlfn.IFS(N29&gt;=115.5%,11,N29&gt;=110.5%,10,N29&gt;=100.5%,9,N29&gt;=99.5%,8,N29&gt;=89.5%,7,N29&gt;=75.5%,6,N29&gt;=60.5%,5,N29&gt;=45.5%,4,N29&gt;=30.5%,3,N29&gt;=15.5%,2,N29&gt;=0.5%,1,TRUE,0)</f>
        <v>11</v>
      </c>
      <c r="P29" s="12">
        <f t="shared" si="34"/>
        <v>2.3278145695364238</v>
      </c>
      <c r="Q29" s="252" cm="1">
        <f t="array" ref="Q29">_xlfn.IFS(P29&gt;10,11,P29&gt;=8.01,10,P29&gt;=6.01,9,P29&gt;=4.01,8,P29=4,7,P29&gt;=3.01,6,P29&gt;=2.01,5,P29&gt;=1.51,4,P29&gt;=1.01,3,P29&gt;=0.51,2,P29&gt;=0.01,1,TRUE,0)</f>
        <v>5</v>
      </c>
      <c r="R29" s="269">
        <v>906</v>
      </c>
      <c r="S29" s="186">
        <f>Donations!C87</f>
        <v>1302</v>
      </c>
      <c r="T29" s="279">
        <f t="shared" si="35"/>
        <v>4.3112582781456954</v>
      </c>
      <c r="U29" s="10">
        <f t="shared" si="36"/>
        <v>396</v>
      </c>
      <c r="V29" s="252" cm="1">
        <f t="array" ref="V29">_xlfn.IFS(T29&gt;=120%,11,T29&gt;=110.5%,10,T29&gt;=100.5%,9,T29&gt;99.9%,8,T29&gt;=85.5%,7,T29&gt;=72.5%,6,T29&gt;=65.5%,5,T29&gt;=55.5%,4,T29&gt;=45.5%,3,T29&gt;=35.5%,2,T29&gt;=20.5%,1,TRUE,0)</f>
        <v>11</v>
      </c>
      <c r="W29" s="269">
        <f t="shared" si="37"/>
        <v>45.3</v>
      </c>
      <c r="X29" s="186">
        <f>Donations!D87</f>
        <v>200</v>
      </c>
      <c r="Y29" s="269">
        <f t="shared" si="38"/>
        <v>0.66225165562913912</v>
      </c>
      <c r="Z29" s="252" cm="1">
        <f t="array" ref="Z29">_xlfn.IFS(Y29&gt;=0.26,11,Y29&gt;=0.21,10,Y29&gt;=0.16,9,Y29=0.15,8,Y29=0.14,7,Y29=0.13,6,Y29&gt;=0.11,5,Y29&gt;=0.09,4,Y29&gt;=0.07,3,Y29&gt;=0.04,2,Y29&gt;=0.01,1,TRUE,0)</f>
        <v>11</v>
      </c>
      <c r="AA29" s="8" t="str">
        <f>'Active &amp; Renewals'!F70</f>
        <v>EXCELLENT</v>
      </c>
      <c r="AB29" s="281" cm="1">
        <f t="array" ref="AB29">_xlfn.IFS(AA29="SUPERIOR",11,AA29="EXCELLENT",9,AA29="GOOD",7,AA29="LATE",5,AA29="NO GRADE",3,AA29="NA",2,AA29="NO REPORT",0)</f>
        <v>9</v>
      </c>
      <c r="AC29" s="8" t="str">
        <f>'Active &amp; Renewals'!H70</f>
        <v>SUPERIOR</v>
      </c>
      <c r="AD29" s="281" cm="1">
        <f t="array" ref="AD29">_xlfn.IFS(AC29="SUPERIOR",11,AC29="EXCELLENT",9,AC29="GOOD",7,AC29="LATE",5,AC29="NO GRADE",3,AC29="NA",2,AC29="NO REPORT",0)</f>
        <v>11</v>
      </c>
      <c r="AE29" s="284" t="str">
        <f>'Active &amp; Renewals'!J70</f>
        <v>NO REPORT</v>
      </c>
      <c r="AF29" s="281" cm="1">
        <f t="array" ref="AF29">_xlfn.IFS(AE29="SUPERIOR",11,AE29="EXCELLENT",9,AE29="GOOD",7,AE29="LATE",5,AE29="NO GRADE",3,AE29="NA",2,AE29="NO REPORT",0)</f>
        <v>0</v>
      </c>
      <c r="AG29" s="284" t="str">
        <f>'Active &amp; Renewals'!L70</f>
        <v>NO REPORT</v>
      </c>
      <c r="AH29" s="281" cm="1">
        <f t="array" ref="AH29">_xlfn.IFS(AG29="SUPERIOR",11,AG29="EXCELLENT",9,AG29="GOOD",7,AG29="LATE",5,AG29="NO GRADE",3,AG29="NA",2,AG29="NO REPORT",0)</f>
        <v>0</v>
      </c>
      <c r="AI29" s="252">
        <f t="shared" si="39"/>
        <v>20</v>
      </c>
      <c r="AJ29" s="188" t="s">
        <v>660</v>
      </c>
      <c r="AK29" s="252" cm="1">
        <f t="array" ref="AK29">_xlfn.IFS(AJ29="8/8",11,AJ29="7/8",7,AJ29="6/8",6,AJ29="5/8",5,AJ29="4/8",4,AJ29="3/8",3,AJ29="2/8",2,AJ29="1/8",1,AJ29="0/8",0,AJ29="6/6",11,AJ29="5/6",7,AJ29="4/6",6,AD29="3/6",4,AD29="2/6",2,AD29="1/6",1,TRUE,0)</f>
        <v>5</v>
      </c>
      <c r="AL29" s="191">
        <v>1</v>
      </c>
      <c r="AM29" s="300" cm="1">
        <f t="array" ref="AM29">_xlfn.IFS(AL29&gt;6,11,AL29&gt;=4,10,AL29&gt;=2,9,AL29=1,8,TRUE,0)</f>
        <v>8</v>
      </c>
      <c r="AN29" s="283">
        <f>Donations!E87</f>
        <v>100</v>
      </c>
      <c r="AO29" s="300" cm="1">
        <f t="array" ref="AO29">_xlfn.IFS(AN29&gt;125,11,AN29&gt;=116,10,AN29&gt;=101,9,AN29=100,8,AN29&gt;=86,7,AN29&gt;=71,6,AN29&gt;=61,5,AN29&gt;=51,4,AN29&gt;=41,3,AN29&gt;=26,2,AN29&gt;=1,1,TRUE,0)</f>
        <v>8</v>
      </c>
      <c r="AP29" s="190">
        <f>Donations!F87</f>
        <v>0</v>
      </c>
      <c r="AQ29" s="300" cm="1">
        <f t="array" ref="AQ29">_xlfn.IFS(AP29&gt;600,11,AP29&gt;=551,10,AP29&gt;=501,9,AP29=500,8,AP29&gt;=326,7,AP29&gt;=251,6,AP29&gt;=201,5,AP29&gt;=151,4,AP29&gt;=101,3,AP29&gt;=76,2,AP29&gt;=1,1,TRUE,0)</f>
        <v>0</v>
      </c>
      <c r="AR29" s="350"/>
      <c r="AS29" s="350"/>
      <c r="AT29" s="350"/>
      <c r="AU29" s="353"/>
      <c r="AV29" s="191">
        <v>0</v>
      </c>
      <c r="AW29" s="191">
        <v>1</v>
      </c>
      <c r="AX29" s="187">
        <v>4</v>
      </c>
      <c r="AY29" s="252">
        <f t="shared" si="41"/>
        <v>5</v>
      </c>
      <c r="AZ29" s="192"/>
      <c r="BA29" s="181"/>
      <c r="BB29" s="193">
        <v>715.4</v>
      </c>
      <c r="BC29" s="252" cm="1">
        <f t="array" ref="BC29">_xlfn.IFS(BB29=0,11,TRUE,0)</f>
        <v>0</v>
      </c>
      <c r="BD29" s="183">
        <v>0</v>
      </c>
      <c r="BE29" s="183">
        <v>0</v>
      </c>
      <c r="BF29" s="183">
        <v>0</v>
      </c>
      <c r="BG29" s="252">
        <f t="shared" si="42"/>
        <v>0</v>
      </c>
      <c r="BH29" s="183">
        <v>0</v>
      </c>
      <c r="BI29" s="183">
        <v>0</v>
      </c>
      <c r="BJ29" s="183">
        <v>3</v>
      </c>
      <c r="BK29" s="252">
        <f t="shared" si="43"/>
        <v>3</v>
      </c>
    </row>
    <row r="30" spans="1:63" ht="15.75" x14ac:dyDescent="0.25">
      <c r="A30" s="180" t="s">
        <v>94</v>
      </c>
      <c r="B30" s="252">
        <f t="shared" si="30"/>
        <v>152</v>
      </c>
      <c r="C30" s="253">
        <f t="shared" si="44"/>
        <v>3</v>
      </c>
      <c r="D30" s="13">
        <f>'Lodge Rank by District'!E21</f>
        <v>20</v>
      </c>
      <c r="E30" s="9" t="str">
        <f>'Active &amp; Renewals'!C73</f>
        <v>1121</v>
      </c>
      <c r="F30" s="9" t="str">
        <f>'Active &amp; Renewals'!D73</f>
        <v>1123</v>
      </c>
      <c r="G30" s="2">
        <f t="shared" si="31"/>
        <v>2</v>
      </c>
      <c r="H30" s="252" cm="1">
        <f t="array" ref="H30">_xlfn.IFS(G30&gt;20,11,G30&gt;11,10,G30&gt;2,9,G30&gt;0,8,G30&gt;-6,7,G30&gt;-11,6,G30&gt;-16,5,G30&gt;-21,4,G30&gt;-26,3,G30&gt;-31,2,G30&gt;-36,1,TRUE,0)</f>
        <v>8</v>
      </c>
      <c r="I30" s="113" t="str">
        <f>'Active &amp; Renewals'!E73</f>
        <v>86.49</v>
      </c>
      <c r="J30" s="252" cm="1">
        <f t="array" ref="J30">_xlfn.IFS(VALUE(I30)&gt;=90.5,11,VALUE(I30)&gt;=85.5,10,VALUE(I30)&gt;=80.5,9,VALUE(I30)&gt;=75.5,8,VALUE(I30)&gt;=74.5,7,VALUE(I30)&gt;=70.5,6,VALUE(I30)&gt;=64.5,5,VALUE(I30)&gt;=60.5,4,VALUE(I30)&gt;=54.5,3,VALUE(I30)&gt;=50.5,2,VALUE(I30)&gt;=44.5,1,TRUE,0)</f>
        <v>10</v>
      </c>
      <c r="K30" s="195">
        <v>7820</v>
      </c>
      <c r="L30" s="195">
        <f>Donations!B65</f>
        <v>10819</v>
      </c>
      <c r="M30" s="267">
        <f t="shared" si="32"/>
        <v>2999</v>
      </c>
      <c r="N30" s="268">
        <f t="shared" si="33"/>
        <v>1.3835038363171355</v>
      </c>
      <c r="O30" s="252" cm="1">
        <f t="array" ref="O30">_xlfn.IFS(N30&gt;=115.5%,11,N30&gt;=110.5%,10,N30&gt;=100.5%,9,N30&gt;=99.5%,8,N30&gt;=89.5%,7,N30&gt;=75.5%,6,N30&gt;=60.5%,5,N30&gt;=45.5%,4,N30&gt;=30.5%,3,N30&gt;=15.5%,2,N30&gt;=0.5%,1,TRUE,0)</f>
        <v>11</v>
      </c>
      <c r="P30" s="12">
        <f t="shared" si="34"/>
        <v>9.6512042818911681</v>
      </c>
      <c r="Q30" s="252" cm="1">
        <f t="array" ref="Q30">_xlfn.IFS(P30&gt;10,11,P30&gt;=8.01,10,P30&gt;=6.01,9,P30&gt;=4.01,8,P30=4,7,P30&gt;=3.01,6,P30&gt;=2.01,5,P30&gt;=1.51,4,P30&gt;=1.01,3,P30&gt;=0.51,2,P30&gt;=0.01,1,TRUE,0)</f>
        <v>10</v>
      </c>
      <c r="R30" s="269">
        <v>3363</v>
      </c>
      <c r="S30" s="186">
        <f>Donations!C65</f>
        <v>2227.67</v>
      </c>
      <c r="T30" s="279">
        <f t="shared" si="35"/>
        <v>1.9872167707404105</v>
      </c>
      <c r="U30" s="10">
        <f t="shared" si="36"/>
        <v>-1135.33</v>
      </c>
      <c r="V30" s="252" cm="1">
        <f t="array" ref="V30">_xlfn.IFS(T30&gt;=120%,11,T30&gt;=110.5%,10,T30&gt;=100.5%,9,T30&gt;99.9%,8,T30&gt;=85.5%,7,T30&gt;=72.5%,6,T30&gt;=65.5%,5,T30&gt;=55.5%,4,T30&gt;=45.5%,3,T30&gt;=35.5%,2,T30&gt;=20.5%,1,TRUE,0)</f>
        <v>11</v>
      </c>
      <c r="W30" s="269">
        <f t="shared" si="37"/>
        <v>168.15</v>
      </c>
      <c r="X30" s="186">
        <f>Donations!D65</f>
        <v>500</v>
      </c>
      <c r="Y30" s="269">
        <f t="shared" si="38"/>
        <v>0.44603033006244425</v>
      </c>
      <c r="Z30" s="252" cm="1">
        <f t="array" ref="Z30">_xlfn.IFS(Y30&gt;=0.26,11,Y30&gt;=0.21,10,Y30&gt;=0.16,9,Y30=0.15,8,Y30=0.14,7,Y30=0.13,6,Y30&gt;=0.11,5,Y30&gt;=0.09,4,Y30&gt;=0.07,3,Y30&gt;=0.04,2,Y30&gt;=0.01,1,TRUE,0)</f>
        <v>11</v>
      </c>
      <c r="AA30" s="8" t="str">
        <f>'Active &amp; Renewals'!F73</f>
        <v>SUPERIOR</v>
      </c>
      <c r="AB30" s="281" cm="1">
        <f t="array" ref="AB30">_xlfn.IFS(AA30="SUPERIOR",11,AA30="EXCELLENT",9,AA30="GOOD",7,AA30="LATE",5,AA30="NO GRADE",3,AA30="NA",2,AA30="NO REPORT",0)</f>
        <v>11</v>
      </c>
      <c r="AC30" s="8" t="str">
        <f>'Active &amp; Renewals'!H73</f>
        <v>EXCELLENT</v>
      </c>
      <c r="AD30" s="281" cm="1">
        <f t="array" ref="AD30">_xlfn.IFS(AC30="SUPERIOR",11,AC30="EXCELLENT",9,AC30="GOOD",7,AC30="LATE",5,AC30="NO GRADE",3,AC30="NA",2,AC30="NO REPORT",0)</f>
        <v>9</v>
      </c>
      <c r="AE30" s="284" t="str">
        <f>'Active &amp; Renewals'!J73</f>
        <v>NO REPORT</v>
      </c>
      <c r="AF30" s="281" cm="1">
        <f t="array" ref="AF30">_xlfn.IFS(AE30="SUPERIOR",11,AE30="EXCELLENT",9,AE30="GOOD",7,AE30="LATE",5,AE30="NO GRADE",3,AE30="NA",2,AE30="NO REPORT",0)</f>
        <v>0</v>
      </c>
      <c r="AG30" s="284" t="str">
        <f>'Active &amp; Renewals'!L73</f>
        <v>NO REPORT</v>
      </c>
      <c r="AH30" s="281" cm="1">
        <f t="array" ref="AH30">_xlfn.IFS(AG30="SUPERIOR",11,AG30="EXCELLENT",9,AG30="GOOD",7,AG30="LATE",5,AG30="NO GRADE",3,AG30="NA",2,AG30="NO REPORT",0)</f>
        <v>0</v>
      </c>
      <c r="AI30" s="252">
        <f t="shared" si="39"/>
        <v>20</v>
      </c>
      <c r="AJ30" s="188" t="s">
        <v>656</v>
      </c>
      <c r="AK30" s="252" cm="1">
        <f t="array" ref="AK30">_xlfn.IFS(AJ30="8/8",11,AJ30="7/8",7,AJ30="6/8",6,AJ30="5/8",5,AJ30="4/8",4,AJ30="3/8",3,AJ30="2/8",2,AJ30="1/8",1,AJ30="0/8",0,AJ30="6/6",11,AJ30="5/6",7,AJ30="4/6",6,AD30="3/6",4,AD30="2/6",2,AD30="1/6",1,TRUE,0)</f>
        <v>7</v>
      </c>
      <c r="AL30" s="189">
        <v>2</v>
      </c>
      <c r="AM30" s="300" cm="1">
        <f t="array" ref="AM30">_xlfn.IFS(AL30&gt;6,11,AL30&gt;=4,10,AL30&gt;=2,9,AL30=1,8,TRUE,0)</f>
        <v>9</v>
      </c>
      <c r="AN30" s="283">
        <f>Donations!E65</f>
        <v>300</v>
      </c>
      <c r="AO30" s="300" cm="1">
        <f t="array" ref="AO30">_xlfn.IFS(AN30&gt;125,11,AN30&gt;=116,10,AN30&gt;=101,9,AN30=100,8,AN30&gt;=86,7,AN30&gt;=71,6,AN30&gt;=61,5,AN30&gt;=51,4,AN30&gt;=41,3,AN30&gt;=26,2,AN30&gt;=1,1,TRUE,0)</f>
        <v>11</v>
      </c>
      <c r="AP30" s="190">
        <v>500</v>
      </c>
      <c r="AQ30" s="300" cm="1">
        <f t="array" ref="AQ30">_xlfn.IFS(AP30&gt;600,11,AP30&gt;=551,10,AP30&gt;=501,9,AP30=500,8,AP30&gt;=326,7,AP30&gt;=251,6,AP30&gt;=201,5,AP30&gt;=151,4,AP30&gt;=101,3,AP30&gt;=76,2,AP30&gt;=1,1,TRUE,0)</f>
        <v>8</v>
      </c>
      <c r="AR30" s="350"/>
      <c r="AS30" s="350"/>
      <c r="AT30" s="350"/>
      <c r="AU30" s="353"/>
      <c r="AV30" s="191">
        <v>4</v>
      </c>
      <c r="AW30" s="191">
        <v>1</v>
      </c>
      <c r="AX30" s="187">
        <v>5</v>
      </c>
      <c r="AY30" s="252">
        <f t="shared" si="41"/>
        <v>10</v>
      </c>
      <c r="AZ30" s="192"/>
      <c r="BA30" s="181"/>
      <c r="BB30" s="193">
        <v>0</v>
      </c>
      <c r="BC30" s="252" cm="1">
        <f t="array" ref="BC30">_xlfn.IFS(BB30=0,11,TRUE,0)</f>
        <v>11</v>
      </c>
      <c r="BD30" s="183">
        <v>3</v>
      </c>
      <c r="BE30" s="183">
        <v>3</v>
      </c>
      <c r="BF30" s="183">
        <v>4</v>
      </c>
      <c r="BG30" s="252">
        <f t="shared" si="42"/>
        <v>10</v>
      </c>
      <c r="BH30" s="183">
        <v>1</v>
      </c>
      <c r="BI30" s="183">
        <v>1</v>
      </c>
      <c r="BJ30" s="183">
        <v>3</v>
      </c>
      <c r="BK30" s="252">
        <f t="shared" si="43"/>
        <v>5</v>
      </c>
    </row>
    <row r="31" spans="1:63" ht="15.75" x14ac:dyDescent="0.25">
      <c r="A31" s="180" t="s">
        <v>93</v>
      </c>
      <c r="B31" s="252">
        <f t="shared" si="30"/>
        <v>150</v>
      </c>
      <c r="C31" s="253">
        <f t="shared" si="44"/>
        <v>4</v>
      </c>
      <c r="D31" s="13">
        <f>'Lodge Rank by District'!E22</f>
        <v>22</v>
      </c>
      <c r="E31" s="9" t="str">
        <f>'Active &amp; Renewals'!C81</f>
        <v>1456</v>
      </c>
      <c r="F31" s="9" t="str">
        <f>'Active &amp; Renewals'!D81</f>
        <v>1504</v>
      </c>
      <c r="G31" s="2">
        <f t="shared" si="31"/>
        <v>48</v>
      </c>
      <c r="H31" s="252" cm="1">
        <f t="array" ref="H31">_xlfn.IFS(G31&gt;20,11,G31&gt;11,10,G31&gt;2,9,G31&gt;0,8,G31&gt;-6,7,G31&gt;-11,6,G31&gt;-16,5,G31&gt;-21,4,G31&gt;-26,3,G31&gt;-31,2,G31&gt;-36,1,TRUE,0)</f>
        <v>11</v>
      </c>
      <c r="I31" s="113" t="str">
        <f>'Active &amp; Renewals'!E81</f>
        <v>89.55</v>
      </c>
      <c r="J31" s="252" cm="1">
        <f t="array" ref="J31">_xlfn.IFS(VALUE(I31)&gt;=90.5,11,VALUE(I31)&gt;=85.5,10,VALUE(I31)&gt;=80.5,9,VALUE(I31)&gt;=75.5,8,VALUE(I31)&gt;=74.5,7,VALUE(I31)&gt;=70.5,6,VALUE(I31)&gt;=64.5,5,VALUE(I31)&gt;=60.5,4,VALUE(I31)&gt;=54.5,3,VALUE(I31)&gt;=50.5,2,VALUE(I31)&gt;=44.5,1,TRUE,0)</f>
        <v>10</v>
      </c>
      <c r="K31" s="195">
        <v>6890</v>
      </c>
      <c r="L31" s="195">
        <f>Donations!B24</f>
        <v>9276</v>
      </c>
      <c r="M31" s="267">
        <f t="shared" si="32"/>
        <v>2386</v>
      </c>
      <c r="N31" s="268">
        <f t="shared" si="33"/>
        <v>1.3462989840348332</v>
      </c>
      <c r="O31" s="252" cm="1">
        <f t="array" ref="O31">_xlfn.IFS(N31&gt;=115.5%,11,N31&gt;=110.5%,10,N31&gt;=100.5%,9,N31&gt;=99.5%,8,N31&gt;=89.5%,7,N31&gt;=75.5%,6,N31&gt;=60.5%,5,N31&gt;=45.5%,4,N31&gt;=30.5%,3,N31&gt;=15.5%,2,N31&gt;=0.5%,1,TRUE,0)</f>
        <v>11</v>
      </c>
      <c r="P31" s="12">
        <f t="shared" si="34"/>
        <v>6.3708791208791204</v>
      </c>
      <c r="Q31" s="252" cm="1">
        <f t="array" ref="Q31">_xlfn.IFS(P31&gt;10,11,P31&gt;=8.01,10,P31&gt;=6.01,9,P31&gt;=4.01,8,P31=4,7,P31&gt;=3.01,6,P31&gt;=2.01,5,P31&gt;=1.51,4,P31&gt;=1.01,3,P31&gt;=0.51,2,P31&gt;=0.01,1,TRUE,0)</f>
        <v>9</v>
      </c>
      <c r="R31" s="269">
        <v>4368</v>
      </c>
      <c r="S31" s="186">
        <f>Donations!C24</f>
        <v>4500</v>
      </c>
      <c r="T31" s="279">
        <f t="shared" si="35"/>
        <v>3.0906593406593408</v>
      </c>
      <c r="U31" s="10">
        <f t="shared" si="36"/>
        <v>132</v>
      </c>
      <c r="V31" s="252" cm="1">
        <f t="array" ref="V31">_xlfn.IFS(T31&gt;=120%,11,T31&gt;=110.5%,10,T31&gt;=100.5%,9,T31&gt;99.9%,8,T31&gt;=85.5%,7,T31&gt;=72.5%,6,T31&gt;=65.5%,5,T31&gt;=55.5%,4,T31&gt;=45.5%,3,T31&gt;=35.5%,2,T31&gt;=20.5%,1,TRUE,0)</f>
        <v>11</v>
      </c>
      <c r="W31" s="269">
        <f t="shared" si="37"/>
        <v>218.4</v>
      </c>
      <c r="X31" s="186">
        <f>Donations!D24</f>
        <v>1125</v>
      </c>
      <c r="Y31" s="269">
        <f t="shared" si="38"/>
        <v>0.7726648351648352</v>
      </c>
      <c r="Z31" s="252" cm="1">
        <f t="array" ref="Z31">_xlfn.IFS(Y31&gt;=0.26,11,Y31&gt;=0.21,10,Y31&gt;=0.16,9,Y31=0.15,8,Y31=0.14,7,Y31=0.13,6,Y31&gt;=0.11,5,Y31&gt;=0.09,4,Y31&gt;=0.07,3,Y31&gt;=0.04,2,Y31&gt;=0.01,1,TRUE,0)</f>
        <v>11</v>
      </c>
      <c r="AA31" s="8" t="str">
        <f>'Active &amp; Renewals'!F81</f>
        <v>GOOD</v>
      </c>
      <c r="AB31" s="281" cm="1">
        <f t="array" ref="AB31">_xlfn.IFS(AA31="SUPERIOR",11,AA31="EXCELLENT",9,AA31="GOOD",7,AA31="LATE",5,AA31="NO GRADE",3,AA31="NA",2,AA31="NO REPORT",0)</f>
        <v>7</v>
      </c>
      <c r="AC31" s="8" t="str">
        <f>'Active &amp; Renewals'!H81</f>
        <v>EXCELLENT</v>
      </c>
      <c r="AD31" s="281" cm="1">
        <f t="array" ref="AD31">_xlfn.IFS(AC31="SUPERIOR",11,AC31="EXCELLENT",9,AC31="GOOD",7,AC31="LATE",5,AC31="NO GRADE",3,AC31="NA",2,AC31="NO REPORT",0)</f>
        <v>9</v>
      </c>
      <c r="AE31" s="284" t="str">
        <f>'Active &amp; Renewals'!J81</f>
        <v>NO REPORT</v>
      </c>
      <c r="AF31" s="281" cm="1">
        <f t="array" ref="AF31">_xlfn.IFS(AE31="SUPERIOR",11,AE31="EXCELLENT",9,AE31="GOOD",7,AE31="LATE",5,AE31="NO GRADE",3,AE31="NA",2,AE31="NO REPORT",0)</f>
        <v>0</v>
      </c>
      <c r="AG31" s="284" t="str">
        <f>'Active &amp; Renewals'!L81</f>
        <v>NO REPORT</v>
      </c>
      <c r="AH31" s="281" cm="1">
        <f t="array" ref="AH31">_xlfn.IFS(AG31="SUPERIOR",11,AG31="EXCELLENT",9,AG31="GOOD",7,AG31="LATE",5,AG31="NO GRADE",3,AG31="NA",2,AG31="NO REPORT",0)</f>
        <v>0</v>
      </c>
      <c r="AI31" s="252">
        <f t="shared" si="39"/>
        <v>16</v>
      </c>
      <c r="AJ31" s="188" t="s">
        <v>660</v>
      </c>
      <c r="AK31" s="252" cm="1">
        <f t="array" ref="AK31">_xlfn.IFS(AJ31="8/8",11,AJ31="7/8",7,AJ31="6/8",6,AJ31="5/8",5,AJ31="4/8",4,AJ31="3/8",3,AJ31="2/8",2,AJ31="1/8",1,AJ31="0/8",0,AJ31="6/6",11,AJ31="5/6",7,AJ31="4/6",6,AD31="3/6",4,AD31="2/6",2,AD31="1/6",1,TRUE,0)</f>
        <v>5</v>
      </c>
      <c r="AL31" s="189">
        <v>11</v>
      </c>
      <c r="AM31" s="300" cm="1">
        <f t="array" ref="AM31">_xlfn.IFS(AL31&gt;6,11,AL31&gt;=4,10,AL31&gt;=2,9,AL31=1,8,TRUE,0)</f>
        <v>11</v>
      </c>
      <c r="AN31" s="283">
        <f>Donations!E24</f>
        <v>1100</v>
      </c>
      <c r="AO31" s="300" cm="1">
        <f t="array" ref="AO31">_xlfn.IFS(AN31&gt;125,11,AN31&gt;=116,10,AN31&gt;=101,9,AN31=100,8,AN31&gt;=86,7,AN31&gt;=71,6,AN31&gt;=61,5,AN31&gt;=51,4,AN31&gt;=41,3,AN31&gt;=26,2,AN31&gt;=1,1,TRUE,0)</f>
        <v>11</v>
      </c>
      <c r="AP31" s="190">
        <f>Donations!F24</f>
        <v>0</v>
      </c>
      <c r="AQ31" s="300" cm="1">
        <f t="array" ref="AQ31">_xlfn.IFS(AP31&gt;600,11,AP31&gt;=551,10,AP31&gt;=501,9,AP31=500,8,AP31&gt;=326,7,AP31&gt;=251,6,AP31&gt;=201,5,AP31&gt;=151,4,AP31&gt;=101,3,AP31&gt;=76,2,AP31&gt;=1,1,TRUE,0)</f>
        <v>0</v>
      </c>
      <c r="AR31" s="350"/>
      <c r="AS31" s="350"/>
      <c r="AT31" s="350"/>
      <c r="AU31" s="353"/>
      <c r="AV31" s="191">
        <v>4</v>
      </c>
      <c r="AW31" s="191">
        <v>4</v>
      </c>
      <c r="AX31" s="187">
        <v>5</v>
      </c>
      <c r="AY31" s="252">
        <f t="shared" si="41"/>
        <v>13</v>
      </c>
      <c r="AZ31" s="192"/>
      <c r="BA31" s="181"/>
      <c r="BB31" s="193">
        <v>0</v>
      </c>
      <c r="BC31" s="252" cm="1">
        <f t="array" ref="BC31">_xlfn.IFS(BB31=0,11,TRUE,0)</f>
        <v>11</v>
      </c>
      <c r="BD31" s="183">
        <v>4</v>
      </c>
      <c r="BE31" s="183">
        <v>4</v>
      </c>
      <c r="BF31" s="183">
        <v>4</v>
      </c>
      <c r="BG31" s="252">
        <f t="shared" si="42"/>
        <v>12</v>
      </c>
      <c r="BH31" s="183">
        <v>2</v>
      </c>
      <c r="BI31" s="183">
        <v>3</v>
      </c>
      <c r="BJ31" s="183">
        <v>3</v>
      </c>
      <c r="BK31" s="252">
        <f t="shared" si="43"/>
        <v>8</v>
      </c>
    </row>
    <row r="32" spans="1:63" ht="15.75" x14ac:dyDescent="0.25">
      <c r="A32" s="180" t="s">
        <v>92</v>
      </c>
      <c r="B32" s="252">
        <f t="shared" si="30"/>
        <v>144</v>
      </c>
      <c r="C32" s="253">
        <f t="shared" si="44"/>
        <v>5</v>
      </c>
      <c r="D32" s="13">
        <f>'Lodge Rank by District'!E23</f>
        <v>28</v>
      </c>
      <c r="E32" s="9" t="str">
        <f>'Active &amp; Renewals'!C86</f>
        <v>742</v>
      </c>
      <c r="F32" s="9" t="str">
        <f>'Active &amp; Renewals'!D86</f>
        <v>796</v>
      </c>
      <c r="G32" s="2">
        <f t="shared" si="31"/>
        <v>54</v>
      </c>
      <c r="H32" s="252" cm="1">
        <f t="array" ref="H32">_xlfn.IFS(G32&gt;20,11,G32&gt;11,10,G32&gt;2,9,G32&gt;0,8,G32&gt;-6,7,G32&gt;-11,6,G32&gt;-16,5,G32&gt;-21,4,G32&gt;-26,3,G32&gt;-31,2,G32&gt;-36,1,TRUE,0)</f>
        <v>11</v>
      </c>
      <c r="I32" s="113" t="str">
        <f>'Active &amp; Renewals'!E86</f>
        <v>84.67</v>
      </c>
      <c r="J32" s="252" cm="1">
        <f t="array" ref="J32">_xlfn.IFS(VALUE(I32)&gt;=90.5,11,VALUE(I32)&gt;=85.5,10,VALUE(I32)&gt;=80.5,9,VALUE(I32)&gt;=75.5,8,VALUE(I32)&gt;=74.5,7,VALUE(I32)&gt;=70.5,6,VALUE(I32)&gt;=64.5,5,VALUE(I32)&gt;=60.5,4,VALUE(I32)&gt;=54.5,3,VALUE(I32)&gt;=50.5,2,VALUE(I32)&gt;=44.5,1,TRUE,0)</f>
        <v>9</v>
      </c>
      <c r="K32" s="195">
        <v>2618</v>
      </c>
      <c r="L32" s="195">
        <f>Donations!B80</f>
        <v>4578</v>
      </c>
      <c r="M32" s="267">
        <f t="shared" si="32"/>
        <v>1960</v>
      </c>
      <c r="N32" s="268">
        <f t="shared" si="33"/>
        <v>1.7486631016042782</v>
      </c>
      <c r="O32" s="252" cm="1">
        <f t="array" ref="O32">_xlfn.IFS(N32&gt;=115.5%,11,N32&gt;=110.5%,10,N32&gt;=100.5%,9,N32&gt;=99.5%,8,N32&gt;=89.5%,7,N32&gt;=75.5%,6,N32&gt;=60.5%,5,N32&gt;=45.5%,4,N32&gt;=30.5%,3,N32&gt;=15.5%,2,N32&gt;=0.5%,1,TRUE,0)</f>
        <v>11</v>
      </c>
      <c r="P32" s="12">
        <f t="shared" si="34"/>
        <v>6.1698113207547172</v>
      </c>
      <c r="Q32" s="252" cm="1">
        <f t="array" ref="Q32">_xlfn.IFS(P32&gt;10,11,P32&gt;=8.01,10,P32&gt;=6.01,9,P32&gt;=4.01,8,P32=4,7,P32&gt;=3.01,6,P32&gt;=2.01,5,P32&gt;=1.51,4,P32&gt;=1.01,3,P32&gt;=0.51,2,P32&gt;=0.01,1,TRUE,0)</f>
        <v>9</v>
      </c>
      <c r="R32" s="269">
        <v>2226</v>
      </c>
      <c r="S32" s="186">
        <f>Donations!C80</f>
        <v>5426</v>
      </c>
      <c r="T32" s="279">
        <f t="shared" si="35"/>
        <v>7.3126684636118595</v>
      </c>
      <c r="U32" s="10">
        <f t="shared" si="36"/>
        <v>3200</v>
      </c>
      <c r="V32" s="252" cm="1">
        <f t="array" ref="V32">_xlfn.IFS(T32&gt;=120%,11,T32&gt;=110.5%,10,T32&gt;=100.5%,9,T32&gt;99.9%,8,T32&gt;=85.5%,7,T32&gt;=72.5%,6,T32&gt;=65.5%,5,T32&gt;=55.5%,4,T32&gt;=45.5%,3,T32&gt;=35.5%,2,T32&gt;=20.5%,1,TRUE,0)</f>
        <v>11</v>
      </c>
      <c r="W32" s="269">
        <f t="shared" si="37"/>
        <v>111.3</v>
      </c>
      <c r="X32" s="186">
        <f>Donations!D80</f>
        <v>600</v>
      </c>
      <c r="Y32" s="269">
        <f t="shared" si="38"/>
        <v>0.80862533692722371</v>
      </c>
      <c r="Z32" s="252" cm="1">
        <f t="array" ref="Z32">_xlfn.IFS(Y32&gt;=0.26,11,Y32&gt;=0.21,10,Y32&gt;=0.16,9,Y32=0.15,8,Y32=0.14,7,Y32=0.13,6,Y32&gt;=0.11,5,Y32&gt;=0.09,4,Y32&gt;=0.07,3,Y32&gt;=0.04,2,Y32&gt;=0.01,1,TRUE,0)</f>
        <v>11</v>
      </c>
      <c r="AA32" s="8" t="str">
        <f>'Active &amp; Renewals'!F86</f>
        <v>EXCELLENT</v>
      </c>
      <c r="AB32" s="281" cm="1">
        <f t="array" ref="AB32">_xlfn.IFS(AA32="SUPERIOR",11,AA32="EXCELLENT",9,AA32="GOOD",7,AA32="LATE",5,AA32="NO GRADE",3,AA32="NA",2,AA32="NO REPORT",0)</f>
        <v>9</v>
      </c>
      <c r="AC32" s="8" t="str">
        <f>'Active &amp; Renewals'!H86</f>
        <v>SUPERIOR</v>
      </c>
      <c r="AD32" s="281" cm="1">
        <f t="array" ref="AD32">_xlfn.IFS(AC32="SUPERIOR",11,AC32="EXCELLENT",9,AC32="GOOD",7,AC32="LATE",5,AC32="NO GRADE",3,AC32="NA",2,AC32="NO REPORT",0)</f>
        <v>11</v>
      </c>
      <c r="AE32" s="284" t="str">
        <f>'Active &amp; Renewals'!J86</f>
        <v>NO REPORT</v>
      </c>
      <c r="AF32" s="281" cm="1">
        <f t="array" ref="AF32">_xlfn.IFS(AE32="SUPERIOR",11,AE32="EXCELLENT",9,AE32="GOOD",7,AE32="LATE",5,AE32="NO GRADE",3,AE32="NA",2,AE32="NO REPORT",0)</f>
        <v>0</v>
      </c>
      <c r="AG32" s="284" t="str">
        <f>'Active &amp; Renewals'!L86</f>
        <v>NO REPORT</v>
      </c>
      <c r="AH32" s="281" cm="1">
        <f t="array" ref="AH32">_xlfn.IFS(AG32="SUPERIOR",11,AG32="EXCELLENT",9,AG32="GOOD",7,AG32="LATE",5,AG32="NO GRADE",3,AG32="NA",2,AG32="NO REPORT",0)</f>
        <v>0</v>
      </c>
      <c r="AI32" s="252">
        <f t="shared" si="39"/>
        <v>20</v>
      </c>
      <c r="AJ32" s="188" t="s">
        <v>657</v>
      </c>
      <c r="AK32" s="252" cm="1">
        <f t="array" ref="AK32">_xlfn.IFS(AJ32="8/8",11,AJ32="7/8",7,AJ32="6/8",6,AJ32="5/8",5,AJ32="4/8",4,AJ32="3/8",3,AJ32="2/8",2,AJ32="1/8",1,AJ32="0/8",0,AJ32="6/6",11,AJ32="5/6",7,AJ32="4/6",6,AD32="3/6",4,AD32="2/6",2,AD32="1/6",1,TRUE,0)</f>
        <v>3</v>
      </c>
      <c r="AL32" s="189">
        <v>2</v>
      </c>
      <c r="AM32" s="300" cm="1">
        <f t="array" ref="AM32">_xlfn.IFS(AL32&gt;6,11,AL32&gt;=4,10,AL32&gt;=2,9,AL32=1,8,TRUE,0)</f>
        <v>9</v>
      </c>
      <c r="AN32" s="280">
        <f>Donations!E80</f>
        <v>400</v>
      </c>
      <c r="AO32" s="300" cm="1">
        <f t="array" ref="AO32">_xlfn.IFS(AN32&gt;125,11,AN32&gt;=116,10,AN32&gt;=101,9,AN32=100,8,AN32&gt;=86,7,AN32&gt;=71,6,AN32&gt;=61,5,AN32&gt;=51,4,AN32&gt;=41,3,AN32&gt;=26,2,AN32&gt;=1,1,TRUE,0)</f>
        <v>11</v>
      </c>
      <c r="AP32" s="190">
        <f>Donations!F80</f>
        <v>400</v>
      </c>
      <c r="AQ32" s="300" cm="1">
        <f t="array" ref="AQ32">_xlfn.IFS(AP32&gt;600,11,AP32&gt;=551,10,AP32&gt;=501,9,AP32=500,8,AP32&gt;=326,7,AP32&gt;=251,6,AP32&gt;=201,5,AP32&gt;=151,4,AP32&gt;=101,3,AP32&gt;=76,2,AP32&gt;=1,1,TRUE,0)</f>
        <v>7</v>
      </c>
      <c r="AR32" s="350"/>
      <c r="AS32" s="350"/>
      <c r="AT32" s="350"/>
      <c r="AU32" s="353"/>
      <c r="AV32" s="191">
        <v>1</v>
      </c>
      <c r="AW32" s="191">
        <v>5</v>
      </c>
      <c r="AX32" s="187">
        <v>5</v>
      </c>
      <c r="AY32" s="252">
        <f t="shared" si="41"/>
        <v>11</v>
      </c>
      <c r="AZ32" s="192"/>
      <c r="BA32" s="181"/>
      <c r="BB32" s="193">
        <v>0</v>
      </c>
      <c r="BC32" s="252" cm="1">
        <f t="array" ref="BC32">_xlfn.IFS(BB32=0,11,TRUE,0)</f>
        <v>11</v>
      </c>
      <c r="BD32" s="183">
        <v>0</v>
      </c>
      <c r="BE32" s="183">
        <v>4</v>
      </c>
      <c r="BF32" s="183">
        <v>0</v>
      </c>
      <c r="BG32" s="252">
        <f t="shared" si="42"/>
        <v>4</v>
      </c>
      <c r="BH32" s="183">
        <v>0</v>
      </c>
      <c r="BI32" s="183">
        <v>3</v>
      </c>
      <c r="BJ32" s="183">
        <v>3</v>
      </c>
      <c r="BK32" s="252">
        <f t="shared" si="43"/>
        <v>6</v>
      </c>
    </row>
    <row r="33" spans="1:63" ht="15.75" x14ac:dyDescent="0.25">
      <c r="A33" s="180" t="s">
        <v>91</v>
      </c>
      <c r="B33" s="252">
        <f t="shared" si="30"/>
        <v>125</v>
      </c>
      <c r="C33" s="253">
        <f t="shared" si="44"/>
        <v>7</v>
      </c>
      <c r="D33" s="13">
        <f>'Lodge Rank by District'!E24</f>
        <v>54</v>
      </c>
      <c r="E33" s="9" t="str">
        <f>'Active &amp; Renewals'!C89</f>
        <v>558</v>
      </c>
      <c r="F33" s="9" t="str">
        <f>'Active &amp; Renewals'!D89</f>
        <v>633</v>
      </c>
      <c r="G33" s="2">
        <f t="shared" si="31"/>
        <v>75</v>
      </c>
      <c r="H33" s="252" cm="1">
        <f t="array" ref="H33">_xlfn.IFS(G33&gt;20,11,G33&gt;11,10,G33&gt;2,9,G33&gt;0,8,G33&gt;-6,7,G33&gt;-11,6,G33&gt;-16,5,G33&gt;-21,4,G33&gt;-26,3,G33&gt;-31,2,G33&gt;-36,1,TRUE,0)</f>
        <v>11</v>
      </c>
      <c r="I33" s="113" t="str">
        <f>'Active &amp; Renewals'!E89</f>
        <v>84.41</v>
      </c>
      <c r="J33" s="252" cm="1">
        <f t="array" ref="J33">_xlfn.IFS(VALUE(I33)&gt;=90.5,11,VALUE(I33)&gt;=85.5,10,VALUE(I33)&gt;=80.5,9,VALUE(I33)&gt;=75.5,8,VALUE(I33)&gt;=74.5,7,VALUE(I33)&gt;=70.5,6,VALUE(I33)&gt;=64.5,5,VALUE(I33)&gt;=60.5,4,VALUE(I33)&gt;=54.5,3,VALUE(I33)&gt;=50.5,2,VALUE(I33)&gt;=44.5,1,TRUE,0)</f>
        <v>9</v>
      </c>
      <c r="K33" s="195">
        <v>10073.93</v>
      </c>
      <c r="L33" s="195">
        <f>Donations!B74</f>
        <v>7112</v>
      </c>
      <c r="M33" s="267">
        <f t="shared" si="32"/>
        <v>-2961.9300000000003</v>
      </c>
      <c r="N33" s="268">
        <f t="shared" si="33"/>
        <v>0.70598068479729359</v>
      </c>
      <c r="O33" s="252" cm="1">
        <f t="array" ref="O33">_xlfn.IFS(N33&gt;=115.5%,11,N33&gt;=110.5%,10,N33&gt;=100.5%,9,N33&gt;=99.5%,8,N33&gt;=89.5%,7,N33&gt;=75.5%,6,N33&gt;=60.5%,5,N33&gt;=45.5%,4,N33&gt;=30.5%,3,N33&gt;=15.5%,2,N33&gt;=0.5%,1,TRUE,0)</f>
        <v>5</v>
      </c>
      <c r="P33" s="12">
        <f t="shared" si="34"/>
        <v>12.745519713261649</v>
      </c>
      <c r="Q33" s="252" cm="1">
        <f t="array" ref="Q33">_xlfn.IFS(P33&gt;10,11,P33&gt;=8.01,10,P33&gt;=6.01,9,P33&gt;=4.01,8,P33=4,7,P33&gt;=3.01,6,P33&gt;=2.01,5,P33&gt;=1.51,4,P33&gt;=1.01,3,P33&gt;=0.51,2,P33&gt;=0.01,1,TRUE,0)</f>
        <v>11</v>
      </c>
      <c r="R33" s="269">
        <v>1674</v>
      </c>
      <c r="S33" s="186">
        <f>Donations!C74</f>
        <v>600</v>
      </c>
      <c r="T33" s="279">
        <f t="shared" si="35"/>
        <v>1.075268817204301</v>
      </c>
      <c r="U33" s="10">
        <f t="shared" si="36"/>
        <v>-1074</v>
      </c>
      <c r="V33" s="252" cm="1">
        <f t="array" ref="V33">_xlfn.IFS(T33&gt;=120%,11,T33&gt;=110.5%,10,T33&gt;=100.5%,9,T33&gt;99.9%,8,T33&gt;=85.5%,7,T33&gt;=72.5%,6,T33&gt;=65.5%,5,T33&gt;=55.5%,4,T33&gt;=45.5%,3,T33&gt;=35.5%,2,T33&gt;=20.5%,1,TRUE,0)</f>
        <v>9</v>
      </c>
      <c r="W33" s="269">
        <f t="shared" si="37"/>
        <v>83.7</v>
      </c>
      <c r="X33" s="186">
        <f>Donations!D74</f>
        <v>100</v>
      </c>
      <c r="Y33" s="269">
        <f t="shared" si="38"/>
        <v>0.17921146953405018</v>
      </c>
      <c r="Z33" s="252" cm="1">
        <f t="array" ref="Z33">_xlfn.IFS(Y33&gt;=0.26,11,Y33&gt;=0.21,10,Y33&gt;=0.16,9,Y33=0.15,8,Y33=0.14,7,Y33=0.13,6,Y33&gt;=0.11,5,Y33&gt;=0.09,4,Y33&gt;=0.07,3,Y33&gt;=0.04,2,Y33&gt;=0.01,1,TRUE,0)</f>
        <v>9</v>
      </c>
      <c r="AA33" s="8" t="str">
        <f>'Active &amp; Renewals'!F89</f>
        <v>GOOD</v>
      </c>
      <c r="AB33" s="281" cm="1">
        <f t="array" ref="AB33">_xlfn.IFS(AA33="SUPERIOR",11,AA33="EXCELLENT",9,AA33="GOOD",7,AA33="LATE",5,AA33="NO GRADE",3,AA33="NA",2,AA33="NO REPORT",0)</f>
        <v>7</v>
      </c>
      <c r="AC33" s="8" t="str">
        <f>'Active &amp; Renewals'!H89</f>
        <v>EXCELLENT</v>
      </c>
      <c r="AD33" s="281" cm="1">
        <f t="array" ref="AD33">_xlfn.IFS(AC33="SUPERIOR",11,AC33="EXCELLENT",9,AC33="GOOD",7,AC33="LATE",5,AC33="NO GRADE",3,AC33="NA",2,AC33="NO REPORT",0)</f>
        <v>9</v>
      </c>
      <c r="AE33" s="284" t="str">
        <f>'Active &amp; Renewals'!J89</f>
        <v>NO REPORT</v>
      </c>
      <c r="AF33" s="281" cm="1">
        <f t="array" ref="AF33">_xlfn.IFS(AE33="SUPERIOR",11,AE33="EXCELLENT",9,AE33="GOOD",7,AE33="LATE",5,AE33="NO GRADE",3,AE33="NA",2,AE33="NO REPORT",0)</f>
        <v>0</v>
      </c>
      <c r="AG33" s="284" t="str">
        <f>'Active &amp; Renewals'!L89</f>
        <v>NO REPORT</v>
      </c>
      <c r="AH33" s="281" cm="1">
        <f t="array" ref="AH33">_xlfn.IFS(AG33="SUPERIOR",11,AG33="EXCELLENT",9,AG33="GOOD",7,AG33="LATE",5,AG33="NO GRADE",3,AG33="NA",2,AG33="NO REPORT",0)</f>
        <v>0</v>
      </c>
      <c r="AI33" s="252">
        <f t="shared" si="39"/>
        <v>16</v>
      </c>
      <c r="AJ33" s="188" t="s">
        <v>660</v>
      </c>
      <c r="AK33" s="252" cm="1">
        <f t="array" ref="AK33">_xlfn.IFS(AJ33="8/8",11,AJ33="7/8",7,AJ33="6/8",6,AJ33="5/8",5,AJ33="4/8",4,AJ33="3/8",3,AJ33="2/8",2,AJ33="1/8",1,AJ33="0/8",0,AJ33="6/6",11,AJ33="5/6",7,AJ33="4/6",6,AD33="3/6",4,AD33="2/6",2,AD33="1/6",1,TRUE,0)</f>
        <v>5</v>
      </c>
      <c r="AL33" s="189">
        <v>2</v>
      </c>
      <c r="AM33" s="300" cm="1">
        <f t="array" ref="AM33">_xlfn.IFS(AL33&gt;6,11,AL33&gt;=4,10,AL33&gt;=2,9,AL33=1,8,TRUE,0)</f>
        <v>9</v>
      </c>
      <c r="AN33" s="283">
        <f>Donations!E74</f>
        <v>100</v>
      </c>
      <c r="AO33" s="300" cm="1">
        <f t="array" ref="AO33">_xlfn.IFS(AN33&gt;125,11,AN33&gt;=116,10,AN33&gt;=101,9,AN33=100,8,AN33&gt;=86,7,AN33&gt;=71,6,AN33&gt;=61,5,AN33&gt;=51,4,AN33&gt;=41,3,AN33&gt;=26,2,AN33&gt;=1,1,TRUE,0)</f>
        <v>8</v>
      </c>
      <c r="AP33" s="190">
        <f>Donations!F74</f>
        <v>50</v>
      </c>
      <c r="AQ33" s="300" cm="1">
        <f t="array" ref="AQ33">_xlfn.IFS(AP33&gt;600,11,AP33&gt;=551,10,AP33&gt;=501,9,AP33=500,8,AP33&gt;=326,7,AP33&gt;=251,6,AP33&gt;=201,5,AP33&gt;=151,4,AP33&gt;=101,3,AP33&gt;=76,2,AP33&gt;=1,1,TRUE,0)</f>
        <v>1</v>
      </c>
      <c r="AR33" s="350"/>
      <c r="AS33" s="350"/>
      <c r="AT33" s="350"/>
      <c r="AU33" s="353"/>
      <c r="AV33" s="191">
        <v>3</v>
      </c>
      <c r="AW33" s="191">
        <v>0</v>
      </c>
      <c r="AX33" s="187">
        <v>5</v>
      </c>
      <c r="AY33" s="252">
        <f t="shared" si="41"/>
        <v>8</v>
      </c>
      <c r="AZ33" s="192"/>
      <c r="BA33" s="181"/>
      <c r="BB33" s="193">
        <v>0</v>
      </c>
      <c r="BC33" s="252" cm="1">
        <f t="array" ref="BC33">_xlfn.IFS(BB33=0,11,TRUE,0)</f>
        <v>11</v>
      </c>
      <c r="BD33" s="183">
        <v>2</v>
      </c>
      <c r="BE33" s="183">
        <v>1</v>
      </c>
      <c r="BF33" s="183">
        <v>4</v>
      </c>
      <c r="BG33" s="252">
        <f t="shared" si="42"/>
        <v>7</v>
      </c>
      <c r="BH33" s="183">
        <v>1</v>
      </c>
      <c r="BI33" s="183">
        <v>2</v>
      </c>
      <c r="BJ33" s="183">
        <v>3</v>
      </c>
      <c r="BK33" s="252">
        <f t="shared" si="43"/>
        <v>6</v>
      </c>
    </row>
    <row r="34" spans="1:63" ht="15.75" x14ac:dyDescent="0.25">
      <c r="A34" s="180" t="s">
        <v>90</v>
      </c>
      <c r="B34" s="252">
        <f t="shared" si="30"/>
        <v>135</v>
      </c>
      <c r="C34" s="253">
        <f t="shared" si="44"/>
        <v>6</v>
      </c>
      <c r="D34" s="13">
        <f>'Lodge Rank by District'!E25</f>
        <v>37</v>
      </c>
      <c r="E34" s="9" t="str">
        <f>'Active &amp; Renewals'!C90</f>
        <v>756</v>
      </c>
      <c r="F34" s="9" t="str">
        <f>'Active &amp; Renewals'!D90</f>
        <v>811</v>
      </c>
      <c r="G34" s="2">
        <f t="shared" si="31"/>
        <v>55</v>
      </c>
      <c r="H34" s="252" cm="1">
        <f t="array" ref="H34">_xlfn.IFS(G34&gt;20,11,G34&gt;11,10,G34&gt;2,9,G34&gt;0,8,G34&gt;-6,7,G34&gt;-11,6,G34&gt;-16,5,G34&gt;-21,4,G34&gt;-26,3,G34&gt;-31,2,G34&gt;-36,1,TRUE,0)</f>
        <v>11</v>
      </c>
      <c r="I34" s="113" t="str">
        <f>'Active &amp; Renewals'!E90</f>
        <v>88.68</v>
      </c>
      <c r="J34" s="252" cm="1">
        <f t="array" ref="J34">_xlfn.IFS(VALUE(I34)&gt;=90.5,11,VALUE(I34)&gt;=85.5,10,VALUE(I34)&gt;=80.5,9,VALUE(I34)&gt;=75.5,8,VALUE(I34)&gt;=74.5,7,VALUE(I34)&gt;=70.5,6,VALUE(I34)&gt;=64.5,5,VALUE(I34)&gt;=60.5,4,VALUE(I34)&gt;=54.5,3,VALUE(I34)&gt;=50.5,2,VALUE(I34)&gt;=44.5,1,TRUE,0)</f>
        <v>10</v>
      </c>
      <c r="K34" s="195">
        <v>3415</v>
      </c>
      <c r="L34" s="195">
        <f>Donations!B60</f>
        <v>3069</v>
      </c>
      <c r="M34" s="267">
        <f t="shared" si="32"/>
        <v>-346</v>
      </c>
      <c r="N34" s="268">
        <f t="shared" si="33"/>
        <v>0.89868228404099559</v>
      </c>
      <c r="O34" s="252" cm="1">
        <f t="array" ref="O34">_xlfn.IFS(N34&gt;=115.5%,11,N34&gt;=110.5%,10,N34&gt;=100.5%,9,N34&gt;=99.5%,8,N34&gt;=89.5%,7,N34&gt;=75.5%,6,N34&gt;=60.5%,5,N34&gt;=45.5%,4,N34&gt;=30.5%,3,N34&gt;=15.5%,2,N34&gt;=0.5%,1,TRUE,0)</f>
        <v>7</v>
      </c>
      <c r="P34" s="12">
        <f t="shared" si="34"/>
        <v>4.0595238095238093</v>
      </c>
      <c r="Q34" s="252" cm="1">
        <f t="array" ref="Q34">_xlfn.IFS(P34&gt;10,11,P34&gt;=8.01,10,P34&gt;=6.01,9,P34&gt;=4.01,8,P34=4,7,P34&gt;=3.01,6,P34&gt;=2.01,5,P34&gt;=1.51,4,P34&gt;=1.01,3,P34&gt;=0.51,2,P34&gt;=0.01,1,TRUE,0)</f>
        <v>8</v>
      </c>
      <c r="R34" s="269">
        <v>2268</v>
      </c>
      <c r="S34" s="186">
        <f>Donations!C60</f>
        <v>1450</v>
      </c>
      <c r="T34" s="279">
        <f t="shared" si="35"/>
        <v>1.9179894179894179</v>
      </c>
      <c r="U34" s="10">
        <f t="shared" si="36"/>
        <v>-818</v>
      </c>
      <c r="V34" s="252" cm="1">
        <f t="array" ref="V34">_xlfn.IFS(T34&gt;=120%,11,T34&gt;=110.5%,10,T34&gt;=100.5%,9,T34&gt;99.9%,8,T34&gt;=85.5%,7,T34&gt;=72.5%,6,T34&gt;=65.5%,5,T34&gt;=55.5%,4,T34&gt;=45.5%,3,T34&gt;=35.5%,2,T34&gt;=20.5%,1,TRUE,0)</f>
        <v>11</v>
      </c>
      <c r="W34" s="269">
        <f t="shared" si="37"/>
        <v>113.39999999999999</v>
      </c>
      <c r="X34" s="186">
        <f>Donations!D60</f>
        <v>1000</v>
      </c>
      <c r="Y34" s="269">
        <f t="shared" si="38"/>
        <v>1.3227513227513228</v>
      </c>
      <c r="Z34" s="252" cm="1">
        <f t="array" ref="Z34">_xlfn.IFS(Y34&gt;=0.26,11,Y34&gt;=0.21,10,Y34&gt;=0.16,9,Y34=0.15,8,Y34=0.14,7,Y34=0.13,6,Y34&gt;=0.11,5,Y34&gt;=0.09,4,Y34&gt;=0.07,3,Y34&gt;=0.04,2,Y34&gt;=0.01,1,TRUE,0)</f>
        <v>11</v>
      </c>
      <c r="AA34" s="8" t="str">
        <f>'Active &amp; Renewals'!F90</f>
        <v>SUPERIOR</v>
      </c>
      <c r="AB34" s="281" cm="1">
        <f t="array" ref="AB34">_xlfn.IFS(AA34="SUPERIOR",11,AA34="EXCELLENT",9,AA34="GOOD",7,AA34="LATE",5,AA34="NO GRADE",3,AA34="NA",2,AA34="NO REPORT",0)</f>
        <v>11</v>
      </c>
      <c r="AC34" s="8" t="str">
        <f>'Active &amp; Renewals'!H90</f>
        <v>SUPERIOR</v>
      </c>
      <c r="AD34" s="281" cm="1">
        <f t="array" ref="AD34">_xlfn.IFS(AC34="SUPERIOR",11,AC34="EXCELLENT",9,AC34="GOOD",7,AC34="LATE",5,AC34="NO GRADE",3,AC34="NA",2,AC34="NO REPORT",0)</f>
        <v>11</v>
      </c>
      <c r="AE34" s="284" t="str">
        <f>'Active &amp; Renewals'!J90</f>
        <v>NO REPORT</v>
      </c>
      <c r="AF34" s="281" cm="1">
        <f t="array" ref="AF34">_xlfn.IFS(AE34="SUPERIOR",11,AE34="EXCELLENT",9,AE34="GOOD",7,AE34="LATE",5,AE34="NO GRADE",3,AE34="NA",2,AE34="NO REPORT",0)</f>
        <v>0</v>
      </c>
      <c r="AG34" s="284" t="str">
        <f>'Active &amp; Renewals'!L90</f>
        <v>NO REPORT</v>
      </c>
      <c r="AH34" s="281" cm="1">
        <f t="array" ref="AH34">_xlfn.IFS(AG34="SUPERIOR",11,AG34="EXCELLENT",9,AG34="GOOD",7,AG34="LATE",5,AG34="NO GRADE",3,AG34="NA",2,AG34="NO REPORT",0)</f>
        <v>0</v>
      </c>
      <c r="AI34" s="252">
        <f t="shared" si="39"/>
        <v>22</v>
      </c>
      <c r="AJ34" s="188" t="s">
        <v>661</v>
      </c>
      <c r="AK34" s="252" cm="1">
        <f t="array" ref="AK34">_xlfn.IFS(AJ34="8/8",11,AJ34="7/8",7,AJ34="6/8",6,AJ34="5/8",5,AJ34="4/8",4,AJ34="3/8",3,AJ34="2/8",2,AJ34="1/8",1,AJ34="0/8",0,AJ34="6/6",11,AJ34="5/6",7,AJ34="4/6",6,AD34="3/6",4,AD34="2/6",2,AD34="1/6",1,TRUE,0)</f>
        <v>2</v>
      </c>
      <c r="AL34" s="189">
        <v>2</v>
      </c>
      <c r="AM34" s="300" cm="1">
        <f t="array" ref="AM34">_xlfn.IFS(AL34&gt;6,11,AL34&gt;=4,10,AL34&gt;=2,9,AL34=1,8,TRUE,0)</f>
        <v>9</v>
      </c>
      <c r="AN34" s="283">
        <f>Donations!E60</f>
        <v>200</v>
      </c>
      <c r="AO34" s="300" cm="1">
        <f t="array" ref="AO34">_xlfn.IFS(AN34&gt;125,11,AN34&gt;=116,10,AN34&gt;=101,9,AN34=100,8,AN34&gt;=86,7,AN34&gt;=71,6,AN34&gt;=61,5,AN34&gt;=51,4,AN34&gt;=41,3,AN34&gt;=26,2,AN34&gt;=1,1,TRUE,0)</f>
        <v>11</v>
      </c>
      <c r="AP34" s="190">
        <f>Donations!F60</f>
        <v>100</v>
      </c>
      <c r="AQ34" s="300" cm="1">
        <f t="array" ref="AQ34">_xlfn.IFS(AP34&gt;600,11,AP34&gt;=551,10,AP34&gt;=501,9,AP34=500,8,AP34&gt;=326,7,AP34&gt;=251,6,AP34&gt;=201,5,AP34&gt;=151,4,AP34&gt;=101,3,AP34&gt;=76,2,AP34&gt;=1,1,TRUE,0)</f>
        <v>2</v>
      </c>
      <c r="AR34" s="350"/>
      <c r="AS34" s="350"/>
      <c r="AT34" s="350"/>
      <c r="AU34" s="353"/>
      <c r="AV34" s="191">
        <v>1</v>
      </c>
      <c r="AW34" s="191">
        <v>5</v>
      </c>
      <c r="AX34" s="187">
        <v>5</v>
      </c>
      <c r="AY34" s="252">
        <f t="shared" si="41"/>
        <v>11</v>
      </c>
      <c r="AZ34" s="192"/>
      <c r="BA34" s="181"/>
      <c r="BB34" s="193">
        <v>0</v>
      </c>
      <c r="BC34" s="252" cm="1">
        <f t="array" ref="BC34">_xlfn.IFS(BB34=0,11,TRUE,0)</f>
        <v>11</v>
      </c>
      <c r="BD34" s="183">
        <v>0</v>
      </c>
      <c r="BE34" s="183">
        <v>0</v>
      </c>
      <c r="BF34" s="183">
        <v>4</v>
      </c>
      <c r="BG34" s="252">
        <f t="shared" si="42"/>
        <v>4</v>
      </c>
      <c r="BH34" s="183">
        <v>1</v>
      </c>
      <c r="BI34" s="183">
        <v>1</v>
      </c>
      <c r="BJ34" s="183">
        <v>3</v>
      </c>
      <c r="BK34" s="252">
        <f t="shared" si="43"/>
        <v>5</v>
      </c>
    </row>
    <row r="35" spans="1:63" ht="15.75" x14ac:dyDescent="0.25">
      <c r="A35" s="180" t="s">
        <v>89</v>
      </c>
      <c r="B35" s="252">
        <f t="shared" si="30"/>
        <v>122</v>
      </c>
      <c r="C35" s="253">
        <f t="shared" si="44"/>
        <v>8</v>
      </c>
      <c r="D35" s="13">
        <f>'Lodge Rank by District'!E26</f>
        <v>58</v>
      </c>
      <c r="E35" s="9" t="str">
        <f>'Active &amp; Renewals'!C91</f>
        <v>852</v>
      </c>
      <c r="F35" s="9" t="str">
        <f>'Active &amp; Renewals'!D91</f>
        <v>815</v>
      </c>
      <c r="G35" s="2">
        <f t="shared" si="31"/>
        <v>-37</v>
      </c>
      <c r="H35" s="252" cm="1">
        <f t="array" ref="H35">_xlfn.IFS(G35&gt;20,11,G35&gt;11,10,G35&gt;2,9,G35&gt;0,8,G35&gt;-6,7,G35&gt;-11,6,G35&gt;-16,5,G35&gt;-21,4,G35&gt;-26,3,G35&gt;-31,2,G35&gt;-36,1,TRUE,0)</f>
        <v>0</v>
      </c>
      <c r="I35" s="113" t="str">
        <f>'Active &amp; Renewals'!E91</f>
        <v>86.88</v>
      </c>
      <c r="J35" s="252" cm="1">
        <f t="array" ref="J35">_xlfn.IFS(VALUE(I35)&gt;=90.5,11,VALUE(I35)&gt;=85.5,10,VALUE(I35)&gt;=80.5,9,VALUE(I35)&gt;=75.5,8,VALUE(I35)&gt;=74.5,7,VALUE(I35)&gt;=70.5,6,VALUE(I35)&gt;=64.5,5,VALUE(I35)&gt;=60.5,4,VALUE(I35)&gt;=54.5,3,VALUE(I35)&gt;=50.5,2,VALUE(I35)&gt;=44.5,1,TRUE,0)</f>
        <v>10</v>
      </c>
      <c r="K35" s="195">
        <v>309</v>
      </c>
      <c r="L35" s="195">
        <f>Donations!B91</f>
        <v>494</v>
      </c>
      <c r="M35" s="267">
        <f t="shared" si="32"/>
        <v>185</v>
      </c>
      <c r="N35" s="268">
        <f t="shared" si="33"/>
        <v>1.5987055016181231</v>
      </c>
      <c r="O35" s="252" cm="1">
        <f t="array" ref="O35">_xlfn.IFS(N35&gt;=115.5%,11,N35&gt;=110.5%,10,N35&gt;=100.5%,9,N35&gt;=99.5%,8,N35&gt;=89.5%,7,N35&gt;=75.5%,6,N35&gt;=60.5%,5,N35&gt;=45.5%,4,N35&gt;=30.5%,3,N35&gt;=15.5%,2,N35&gt;=0.5%,1,TRUE,0)</f>
        <v>11</v>
      </c>
      <c r="P35" s="12">
        <f t="shared" si="34"/>
        <v>0.57981220657276999</v>
      </c>
      <c r="Q35" s="252" cm="1">
        <f t="array" ref="Q35">_xlfn.IFS(P35&gt;10,11,P35&gt;=8.01,10,P35&gt;=6.01,9,P35&gt;=4.01,8,P35=4,7,P35&gt;=3.01,6,P35&gt;=2.01,5,P35&gt;=1.51,4,P35&gt;=1.01,3,P35&gt;=0.51,2,P35&gt;=0.01,1,TRUE,0)</f>
        <v>2</v>
      </c>
      <c r="R35" s="269">
        <v>2556</v>
      </c>
      <c r="S35" s="186">
        <f>Donations!C91</f>
        <v>1362.5</v>
      </c>
      <c r="T35" s="279">
        <f t="shared" si="35"/>
        <v>1.5991784037558685</v>
      </c>
      <c r="U35" s="10">
        <f t="shared" si="36"/>
        <v>-1193.5</v>
      </c>
      <c r="V35" s="252" cm="1">
        <f t="array" ref="V35">_xlfn.IFS(T35&gt;=120%,11,T35&gt;=110.5%,10,T35&gt;=100.5%,9,T35&gt;99.9%,8,T35&gt;=85.5%,7,T35&gt;=72.5%,6,T35&gt;=65.5%,5,T35&gt;=55.5%,4,T35&gt;=45.5%,3,T35&gt;=35.5%,2,T35&gt;=20.5%,1,TRUE,0)</f>
        <v>11</v>
      </c>
      <c r="W35" s="269">
        <f t="shared" si="37"/>
        <v>127.8</v>
      </c>
      <c r="X35" s="186">
        <f>Donations!D91</f>
        <v>225</v>
      </c>
      <c r="Y35" s="269">
        <f t="shared" si="38"/>
        <v>0.2640845070422535</v>
      </c>
      <c r="Z35" s="252" cm="1">
        <f t="array" ref="Z35">_xlfn.IFS(Y35&gt;=0.26,11,Y35&gt;=0.21,10,Y35&gt;=0.16,9,Y35=0.15,8,Y35=0.14,7,Y35=0.13,6,Y35&gt;=0.11,5,Y35&gt;=0.09,4,Y35&gt;=0.07,3,Y35&gt;=0.04,2,Y35&gt;=0.01,1,TRUE,0)</f>
        <v>11</v>
      </c>
      <c r="AA35" s="8" t="str">
        <f>'Active &amp; Renewals'!F91</f>
        <v>EXCELLENT</v>
      </c>
      <c r="AB35" s="281" cm="1">
        <f t="array" ref="AB35">_xlfn.IFS(AA35="SUPERIOR",11,AA35="EXCELLENT",9,AA35="GOOD",7,AA35="LATE",5,AA35="NO GRADE",3,AA35="NA",2,AA35="NO REPORT",0)</f>
        <v>9</v>
      </c>
      <c r="AC35" s="8" t="str">
        <f>'Active &amp; Renewals'!H91</f>
        <v>SUPERIOR</v>
      </c>
      <c r="AD35" s="281" cm="1">
        <f t="array" ref="AD35">_xlfn.IFS(AC35="SUPERIOR",11,AC35="EXCELLENT",9,AC35="GOOD",7,AC35="LATE",5,AC35="NO GRADE",3,AC35="NA",2,AC35="NO REPORT",0)</f>
        <v>11</v>
      </c>
      <c r="AE35" s="284" t="str">
        <f>'Active &amp; Renewals'!J91</f>
        <v>NO REPORT</v>
      </c>
      <c r="AF35" s="281" cm="1">
        <f t="array" ref="AF35">_xlfn.IFS(AE35="SUPERIOR",11,AE35="EXCELLENT",9,AE35="GOOD",7,AE35="LATE",5,AE35="NO GRADE",3,AE35="NA",2,AE35="NO REPORT",0)</f>
        <v>0</v>
      </c>
      <c r="AG35" s="284" t="str">
        <f>'Active &amp; Renewals'!L91</f>
        <v>NO REPORT</v>
      </c>
      <c r="AH35" s="281" cm="1">
        <f t="array" ref="AH35">_xlfn.IFS(AG35="SUPERIOR",11,AG35="EXCELLENT",9,AG35="GOOD",7,AG35="LATE",5,AG35="NO GRADE",3,AG35="NA",2,AG35="NO REPORT",0)</f>
        <v>0</v>
      </c>
      <c r="AI35" s="252">
        <f t="shared" si="39"/>
        <v>20</v>
      </c>
      <c r="AJ35" s="188" t="s">
        <v>655</v>
      </c>
      <c r="AK35" s="252" cm="1">
        <f t="array" ref="AK35">_xlfn.IFS(AJ35="8/8",11,AJ35="7/8",7,AJ35="6/8",6,AJ35="5/8",5,AJ35="4/8",4,AJ35="3/8",3,AJ35="2/8",2,AJ35="1/8",1,AJ35="0/8",0,AJ35="6/6",11,AJ35="5/6",7,AJ35="4/6",6,AD35="3/6",4,AD35="2/6",2,AD35="1/6",1,TRUE,0)</f>
        <v>11</v>
      </c>
      <c r="AL35" s="189">
        <v>2</v>
      </c>
      <c r="AM35" s="300" cm="1">
        <f t="array" ref="AM35">_xlfn.IFS(AL35&gt;6,11,AL35&gt;=4,10,AL35&gt;=2,9,AL35=1,8,TRUE,0)</f>
        <v>9</v>
      </c>
      <c r="AN35" s="283">
        <f>Donations!E91</f>
        <v>100</v>
      </c>
      <c r="AO35" s="300" cm="1">
        <f t="array" ref="AO35">_xlfn.IFS(AN35&gt;125,11,AN35&gt;=116,10,AN35&gt;=101,9,AN35=100,8,AN35&gt;=86,7,AN35&gt;=71,6,AN35&gt;=61,5,AN35&gt;=51,4,AN35&gt;=41,3,AN35&gt;=26,2,AN35&gt;=1,1,TRUE,0)</f>
        <v>8</v>
      </c>
      <c r="AP35" s="190">
        <f>Donations!F91</f>
        <v>100</v>
      </c>
      <c r="AQ35" s="300" cm="1">
        <f t="array" ref="AQ35">_xlfn.IFS(AP35&gt;600,11,AP35&gt;=551,10,AP35&gt;=501,9,AP35=500,8,AP35&gt;=326,7,AP35&gt;=251,6,AP35&gt;=201,5,AP35&gt;=151,4,AP35&gt;=101,3,AP35&gt;=76,2,AP35&gt;=1,1,TRUE,0)</f>
        <v>2</v>
      </c>
      <c r="AR35" s="350"/>
      <c r="AS35" s="350"/>
      <c r="AT35" s="350"/>
      <c r="AU35" s="353"/>
      <c r="AV35" s="191">
        <v>4</v>
      </c>
      <c r="AW35" s="191">
        <v>0</v>
      </c>
      <c r="AX35" s="187">
        <v>1</v>
      </c>
      <c r="AY35" s="252">
        <f t="shared" si="41"/>
        <v>5</v>
      </c>
      <c r="AZ35" s="192"/>
      <c r="BA35" s="181"/>
      <c r="BB35" s="193">
        <v>0</v>
      </c>
      <c r="BC35" s="252" cm="1">
        <f t="array" ref="BC35">_xlfn.IFS(BB35=0,11,TRUE,0)</f>
        <v>11</v>
      </c>
      <c r="BD35" s="183">
        <v>4</v>
      </c>
      <c r="BE35" s="183">
        <v>0</v>
      </c>
      <c r="BF35" s="183">
        <v>4</v>
      </c>
      <c r="BG35" s="252">
        <f t="shared" si="42"/>
        <v>8</v>
      </c>
      <c r="BH35" s="183">
        <v>0</v>
      </c>
      <c r="BI35" s="183">
        <v>0</v>
      </c>
      <c r="BJ35" s="183">
        <v>3</v>
      </c>
      <c r="BK35" s="252">
        <f t="shared" si="43"/>
        <v>3</v>
      </c>
    </row>
    <row r="36" spans="1:63" ht="15.75" x14ac:dyDescent="0.25">
      <c r="A36" s="180" t="s">
        <v>88</v>
      </c>
      <c r="B36" s="252">
        <f t="shared" si="30"/>
        <v>163</v>
      </c>
      <c r="C36" s="253">
        <f t="shared" si="44"/>
        <v>2</v>
      </c>
      <c r="D36" s="13">
        <f>'Lodge Rank by District'!E27</f>
        <v>8</v>
      </c>
      <c r="E36" s="9" t="str">
        <f>'Active &amp; Renewals'!C92</f>
        <v>567</v>
      </c>
      <c r="F36" s="9" t="str">
        <f>'Active &amp; Renewals'!D92</f>
        <v>589</v>
      </c>
      <c r="G36" s="2">
        <f t="shared" si="31"/>
        <v>22</v>
      </c>
      <c r="H36" s="252" cm="1">
        <f t="array" ref="H36">_xlfn.IFS(G36&gt;20,11,G36&gt;11,10,G36&gt;2,9,G36&gt;0,8,G36&gt;-6,7,G36&gt;-11,6,G36&gt;-16,5,G36&gt;-21,4,G36&gt;-26,3,G36&gt;-31,2,G36&gt;-36,1,TRUE,0)</f>
        <v>11</v>
      </c>
      <c r="I36" s="113" t="str">
        <f>'Active &amp; Renewals'!E92</f>
        <v>84.66</v>
      </c>
      <c r="J36" s="252" cm="1">
        <f t="array" ref="J36">_xlfn.IFS(VALUE(I36)&gt;=90.5,11,VALUE(I36)&gt;=85.5,10,VALUE(I36)&gt;=80.5,9,VALUE(I36)&gt;=75.5,8,VALUE(I36)&gt;=74.5,7,VALUE(I36)&gt;=70.5,6,VALUE(I36)&gt;=64.5,5,VALUE(I36)&gt;=60.5,4,VALUE(I36)&gt;=54.5,3,VALUE(I36)&gt;=50.5,2,VALUE(I36)&gt;=44.5,1,TRUE,0)</f>
        <v>9</v>
      </c>
      <c r="K36" s="195">
        <v>3805</v>
      </c>
      <c r="L36" s="195">
        <f>Donations!B85</f>
        <v>4694.25</v>
      </c>
      <c r="M36" s="267">
        <f t="shared" si="32"/>
        <v>889.25</v>
      </c>
      <c r="N36" s="268">
        <f t="shared" si="33"/>
        <v>1.2337056504599211</v>
      </c>
      <c r="O36" s="252" cm="1">
        <f t="array" ref="O36">_xlfn.IFS(N36&gt;=115.5%,11,N36&gt;=110.5%,10,N36&gt;=100.5%,9,N36&gt;=99.5%,8,N36&gt;=89.5%,7,N36&gt;=75.5%,6,N36&gt;=60.5%,5,N36&gt;=45.5%,4,N36&gt;=30.5%,3,N36&gt;=15.5%,2,N36&gt;=0.5%,1,TRUE,0)</f>
        <v>11</v>
      </c>
      <c r="P36" s="12">
        <f t="shared" si="34"/>
        <v>8.2791005291005284</v>
      </c>
      <c r="Q36" s="252" cm="1">
        <f t="array" ref="Q36">_xlfn.IFS(P36&gt;10,11,P36&gt;=8.01,10,P36&gt;=6.01,9,P36&gt;=4.01,8,P36=4,7,P36&gt;=3.01,6,P36&gt;=2.01,5,P36&gt;=1.51,4,P36&gt;=1.01,3,P36&gt;=0.51,2,P36&gt;=0.01,1,TRUE,0)</f>
        <v>10</v>
      </c>
      <c r="R36" s="269">
        <v>1701</v>
      </c>
      <c r="S36" s="186">
        <f>Donations!C85</f>
        <v>4500</v>
      </c>
      <c r="T36" s="279">
        <f t="shared" si="35"/>
        <v>7.9365079365079367</v>
      </c>
      <c r="U36" s="10">
        <f t="shared" si="36"/>
        <v>2799</v>
      </c>
      <c r="V36" s="252" cm="1">
        <f t="array" ref="V36">_xlfn.IFS(T36&gt;=120%,11,T36&gt;=110.5%,10,T36&gt;=100.5%,9,T36&gt;99.9%,8,T36&gt;=85.5%,7,T36&gt;=72.5%,6,T36&gt;=65.5%,5,T36&gt;=55.5%,4,T36&gt;=45.5%,3,T36&gt;=35.5%,2,T36&gt;=20.5%,1,TRUE,0)</f>
        <v>11</v>
      </c>
      <c r="W36" s="269">
        <f t="shared" si="37"/>
        <v>85.05</v>
      </c>
      <c r="X36" s="186">
        <f>Donations!D85</f>
        <v>1750</v>
      </c>
      <c r="Y36" s="269">
        <f t="shared" si="38"/>
        <v>3.0864197530864197</v>
      </c>
      <c r="Z36" s="252" cm="1">
        <f t="array" ref="Z36">_xlfn.IFS(Y36&gt;=0.26,11,Y36&gt;=0.21,10,Y36&gt;=0.16,9,Y36=0.15,8,Y36=0.14,7,Y36=0.13,6,Y36&gt;=0.11,5,Y36&gt;=0.09,4,Y36&gt;=0.07,3,Y36&gt;=0.04,2,Y36&gt;=0.01,1,TRUE,0)</f>
        <v>11</v>
      </c>
      <c r="AA36" s="8" t="str">
        <f>'Active &amp; Renewals'!F92</f>
        <v>EXCELLENT</v>
      </c>
      <c r="AB36" s="281" cm="1">
        <f t="array" ref="AB36">_xlfn.IFS(AA36="SUPERIOR",11,AA36="EXCELLENT",9,AA36="GOOD",7,AA36="LATE",5,AA36="NO GRADE",3,AA36="NA",2,AA36="NO REPORT",0)</f>
        <v>9</v>
      </c>
      <c r="AC36" s="8" t="str">
        <f>'Active &amp; Renewals'!H92</f>
        <v>SUPERIOR</v>
      </c>
      <c r="AD36" s="281" cm="1">
        <f t="array" ref="AD36">_xlfn.IFS(AC36="SUPERIOR",11,AC36="EXCELLENT",9,AC36="GOOD",7,AC36="LATE",5,AC36="NO GRADE",3,AC36="NA",2,AC36="NO REPORT",0)</f>
        <v>11</v>
      </c>
      <c r="AE36" s="284" t="str">
        <f>'Active &amp; Renewals'!J92</f>
        <v>NO REPORT</v>
      </c>
      <c r="AF36" s="281" cm="1">
        <f t="array" ref="AF36">_xlfn.IFS(AE36="SUPERIOR",11,AE36="EXCELLENT",9,AE36="GOOD",7,AE36="LATE",5,AE36="NO GRADE",3,AE36="NA",2,AE36="NO REPORT",0)</f>
        <v>0</v>
      </c>
      <c r="AG36" s="284" t="str">
        <f>'Active &amp; Renewals'!L92</f>
        <v>NO REPORT</v>
      </c>
      <c r="AH36" s="281" cm="1">
        <f t="array" ref="AH36">_xlfn.IFS(AG36="SUPERIOR",11,AG36="EXCELLENT",9,AG36="GOOD",7,AG36="LATE",5,AG36="NO GRADE",3,AG36="NA",2,AG36="NO REPORT",0)</f>
        <v>0</v>
      </c>
      <c r="AI36" s="252">
        <f t="shared" si="39"/>
        <v>20</v>
      </c>
      <c r="AJ36" s="188" t="s">
        <v>656</v>
      </c>
      <c r="AK36" s="252" cm="1">
        <f t="array" ref="AK36">_xlfn.IFS(AJ36="8/8",11,AJ36="7/8",7,AJ36="6/8",6,AJ36="5/8",5,AJ36="4/8",4,AJ36="3/8",3,AJ36="2/8",2,AJ36="1/8",1,AJ36="0/8",0,AJ36="6/6",11,AJ36="5/6",7,AJ36="4/6",6,AD36="3/6",4,AD36="2/6",2,AD36="1/6",1,TRUE,0)</f>
        <v>7</v>
      </c>
      <c r="AL36" s="189">
        <v>7</v>
      </c>
      <c r="AM36" s="300" cm="1">
        <f t="array" ref="AM36">_xlfn.IFS(AL36&gt;6,11,AL36&gt;=4,10,AL36&gt;=2,9,AL36=1,8,TRUE,0)</f>
        <v>11</v>
      </c>
      <c r="AN36" s="283">
        <f>Donations!E85</f>
        <v>1750</v>
      </c>
      <c r="AO36" s="300" cm="1">
        <f t="array" ref="AO36">_xlfn.IFS(AN36&gt;125,11,AN36&gt;=116,10,AN36&gt;=101,9,AN36=100,8,AN36&gt;=86,7,AN36&gt;=71,6,AN36&gt;=61,5,AN36&gt;=51,4,AN36&gt;=41,3,AN36&gt;=26,2,AN36&gt;=1,1,TRUE,0)</f>
        <v>11</v>
      </c>
      <c r="AP36" s="190">
        <f>Donations!F85</f>
        <v>1000</v>
      </c>
      <c r="AQ36" s="300" cm="1">
        <f t="array" ref="AQ36">_xlfn.IFS(AP36&gt;600,11,AP36&gt;=551,10,AP36&gt;=501,9,AP36=500,8,AP36&gt;=326,7,AP36&gt;=251,6,AP36&gt;=201,5,AP36&gt;=151,4,AP36&gt;=101,3,AP36&gt;=76,2,AP36&gt;=1,1,TRUE,0)</f>
        <v>11</v>
      </c>
      <c r="AR36" s="351"/>
      <c r="AS36" s="351"/>
      <c r="AT36" s="351"/>
      <c r="AU36" s="354"/>
      <c r="AV36" s="191">
        <v>1</v>
      </c>
      <c r="AW36" s="191">
        <v>5</v>
      </c>
      <c r="AX36" s="187">
        <v>5</v>
      </c>
      <c r="AY36" s="252">
        <f t="shared" si="41"/>
        <v>11</v>
      </c>
      <c r="AZ36" s="192"/>
      <c r="BA36" s="181"/>
      <c r="BB36" s="193">
        <v>0</v>
      </c>
      <c r="BC36" s="252" cm="1">
        <f t="array" ref="BC36">_xlfn.IFS(BB36=0,11,TRUE,0)</f>
        <v>11</v>
      </c>
      <c r="BD36" s="183">
        <v>4</v>
      </c>
      <c r="BE36" s="183">
        <v>4</v>
      </c>
      <c r="BF36" s="183">
        <v>4</v>
      </c>
      <c r="BG36" s="252">
        <f t="shared" si="42"/>
        <v>12</v>
      </c>
      <c r="BH36" s="183">
        <v>0</v>
      </c>
      <c r="BI36" s="183">
        <v>3</v>
      </c>
      <c r="BJ36" s="183">
        <v>3</v>
      </c>
      <c r="BK36" s="252">
        <f t="shared" si="43"/>
        <v>6</v>
      </c>
    </row>
    <row r="37" spans="1:63" ht="18.75" x14ac:dyDescent="0.25">
      <c r="A37" s="196" t="s">
        <v>1</v>
      </c>
      <c r="B37" s="254">
        <f>SUM(B27:B36)/12</f>
        <v>113.83333333333333</v>
      </c>
      <c r="C37" s="2"/>
      <c r="D37" s="256">
        <f>'District '!D22</f>
        <v>3</v>
      </c>
      <c r="E37" s="5"/>
      <c r="F37" s="5"/>
      <c r="G37" s="1"/>
      <c r="H37" s="1"/>
      <c r="I37" s="307" t="s">
        <v>0</v>
      </c>
      <c r="J37" s="1"/>
      <c r="K37" s="210"/>
      <c r="L37" s="226">
        <f>SUM(L27:L36)</f>
        <v>49662.6</v>
      </c>
      <c r="M37" s="4"/>
      <c r="N37" s="97"/>
      <c r="O37" s="1"/>
      <c r="P37" s="274"/>
      <c r="Q37" s="275"/>
      <c r="R37" s="267" t="s">
        <v>0</v>
      </c>
      <c r="S37" s="184"/>
      <c r="T37" s="97"/>
      <c r="U37" s="1"/>
      <c r="V37" s="1"/>
      <c r="W37" s="1"/>
      <c r="X37" s="285"/>
      <c r="Y37" s="269"/>
      <c r="Z37" s="1"/>
      <c r="AA37" s="2"/>
      <c r="AB37" s="2"/>
      <c r="AC37" s="2"/>
      <c r="AD37" s="2"/>
      <c r="AE37" s="7"/>
      <c r="AF37" s="18"/>
      <c r="AG37" s="7"/>
      <c r="AH37" s="2"/>
      <c r="AI37" s="1"/>
      <c r="AJ37" s="204"/>
      <c r="AK37" s="1"/>
      <c r="AL37" s="197"/>
      <c r="AM37" s="1"/>
      <c r="AN37" s="205"/>
      <c r="AO37" s="1"/>
      <c r="AP37" s="206"/>
      <c r="AQ37" s="1"/>
      <c r="AR37" s="207"/>
      <c r="AS37" s="207"/>
      <c r="AT37" s="207"/>
      <c r="AU37" s="275"/>
      <c r="AV37" s="212"/>
      <c r="AW37" s="212"/>
      <c r="AX37" s="209"/>
      <c r="AY37" s="1"/>
      <c r="AZ37" s="204"/>
      <c r="BA37" s="197"/>
      <c r="BB37" s="198"/>
      <c r="BC37" s="1"/>
      <c r="BD37" s="197"/>
      <c r="BE37" s="197"/>
      <c r="BF37" s="197"/>
      <c r="BG37" s="1"/>
      <c r="BH37" s="197"/>
      <c r="BI37" s="197"/>
      <c r="BJ37" s="211"/>
      <c r="BK37" s="1"/>
    </row>
    <row r="38" spans="1:63" ht="18.75" x14ac:dyDescent="0.25">
      <c r="A38" s="196"/>
      <c r="B38" s="254"/>
      <c r="C38" s="2"/>
      <c r="D38" s="256"/>
      <c r="E38" s="5"/>
      <c r="F38" s="5"/>
      <c r="G38" s="1"/>
      <c r="H38" s="1"/>
      <c r="I38" s="307"/>
      <c r="J38" s="1"/>
      <c r="K38" s="210"/>
      <c r="L38" s="226"/>
      <c r="M38" s="4"/>
      <c r="N38" s="97"/>
      <c r="O38" s="1"/>
      <c r="P38" s="274"/>
      <c r="Q38" s="275"/>
      <c r="R38" s="267"/>
      <c r="S38" s="184"/>
      <c r="T38" s="97"/>
      <c r="U38" s="1"/>
      <c r="V38" s="1"/>
      <c r="W38" s="1"/>
      <c r="X38" s="285"/>
      <c r="Y38" s="269"/>
      <c r="Z38" s="1"/>
      <c r="AA38" s="2"/>
      <c r="AB38" s="2"/>
      <c r="AC38" s="2"/>
      <c r="AD38" s="2"/>
      <c r="AE38" s="7"/>
      <c r="AF38" s="18"/>
      <c r="AG38" s="7"/>
      <c r="AH38" s="2"/>
      <c r="AI38" s="1"/>
      <c r="AJ38" s="204"/>
      <c r="AK38" s="1"/>
      <c r="AL38" s="197"/>
      <c r="AM38" s="1"/>
      <c r="AN38" s="205"/>
      <c r="AO38" s="1"/>
      <c r="AP38" s="206"/>
      <c r="AQ38" s="1"/>
      <c r="AR38" s="207"/>
      <c r="AS38" s="207"/>
      <c r="AT38" s="207"/>
      <c r="AU38" s="275"/>
      <c r="AV38" s="212"/>
      <c r="AW38" s="212"/>
      <c r="AX38" s="209"/>
      <c r="AY38" s="1"/>
      <c r="AZ38" s="204"/>
      <c r="BA38" s="197"/>
      <c r="BB38" s="198"/>
      <c r="BC38" s="1"/>
      <c r="BD38" s="197"/>
      <c r="BE38" s="197"/>
      <c r="BF38" s="197"/>
      <c r="BG38" s="1"/>
      <c r="BH38" s="197"/>
      <c r="BI38" s="197"/>
      <c r="BJ38" s="211"/>
      <c r="BK38" s="1"/>
    </row>
    <row r="39" spans="1:63" ht="18.75" x14ac:dyDescent="0.25">
      <c r="A39" s="196" t="s">
        <v>87</v>
      </c>
      <c r="B39" s="2"/>
      <c r="C39" s="2"/>
      <c r="D39" s="2"/>
      <c r="E39" s="5"/>
      <c r="F39" s="5"/>
      <c r="G39" s="1"/>
      <c r="H39" s="1"/>
      <c r="I39" s="307" t="s">
        <v>0</v>
      </c>
      <c r="J39" s="1"/>
      <c r="K39" s="210"/>
      <c r="L39" s="210"/>
      <c r="M39" s="4"/>
      <c r="N39" s="97"/>
      <c r="O39" s="1"/>
      <c r="P39" s="3"/>
      <c r="Q39" s="1"/>
      <c r="R39" s="267" t="s">
        <v>0</v>
      </c>
      <c r="S39" s="202"/>
      <c r="T39" s="97"/>
      <c r="U39" s="1"/>
      <c r="V39" s="1"/>
      <c r="W39" s="1"/>
      <c r="X39" s="285"/>
      <c r="Y39" s="269"/>
      <c r="Z39" s="1"/>
      <c r="AA39" s="2"/>
      <c r="AB39" s="2"/>
      <c r="AC39" s="2"/>
      <c r="AD39" s="2"/>
      <c r="AE39" s="7"/>
      <c r="AF39" s="18"/>
      <c r="AG39" s="7"/>
      <c r="AH39" s="8"/>
      <c r="AI39" s="1"/>
      <c r="AJ39" s="204"/>
      <c r="AK39" s="1"/>
      <c r="AL39" s="197"/>
      <c r="AM39" s="1"/>
      <c r="AN39" s="205"/>
      <c r="AO39" s="1"/>
      <c r="AP39" s="206"/>
      <c r="AQ39" s="1"/>
      <c r="AR39" s="207"/>
      <c r="AS39" s="207"/>
      <c r="AT39" s="207"/>
      <c r="AU39" s="275"/>
      <c r="AV39" s="212"/>
      <c r="AW39" s="212"/>
      <c r="AX39" s="209"/>
      <c r="AY39" s="1"/>
      <c r="AZ39" s="204"/>
      <c r="BA39" s="197"/>
      <c r="BB39" s="210"/>
      <c r="BC39" s="1"/>
      <c r="BD39" s="197"/>
      <c r="BE39" s="197"/>
      <c r="BF39" s="197"/>
      <c r="BG39" s="1"/>
      <c r="BH39" s="197"/>
      <c r="BI39" s="197"/>
      <c r="BJ39" s="211"/>
      <c r="BK39" s="1"/>
    </row>
    <row r="40" spans="1:63" ht="15.75" x14ac:dyDescent="0.25">
      <c r="A40" s="180" t="s">
        <v>86</v>
      </c>
      <c r="B40" s="252">
        <f t="shared" ref="B40:B46" si="45">+H40+J40+O40+Q40+V40+Z40+AI40+AK40+AM40+AO40+AQ40+AY40+BA40+BC40+BG40+BK40</f>
        <v>133</v>
      </c>
      <c r="C40" s="253">
        <f>RANK(B40,$B$40:$B$46)</f>
        <v>4</v>
      </c>
      <c r="D40" s="13">
        <f>'Lodge Rank by District'!E28</f>
        <v>42</v>
      </c>
      <c r="E40" s="9" t="str">
        <f>'Active &amp; Renewals'!C8</f>
        <v>386</v>
      </c>
      <c r="F40" s="9" t="str">
        <f>'Active &amp; Renewals'!D8</f>
        <v>396</v>
      </c>
      <c r="G40" s="2">
        <f t="shared" ref="G40:G45" si="46">+F40-E40</f>
        <v>10</v>
      </c>
      <c r="H40" s="252" cm="1">
        <f t="array" ref="H40">_xlfn.IFS(G40&gt;20,11,G40&gt;11,10,G40&gt;2,9,G40&gt;0,8,G40&gt;-6,7,G40&gt;-11,6,G40&gt;-16,5,G40&gt;-21,4,G40&gt;-26,3,G40&gt;-31,2,G40&gt;-36,1,TRUE,0)</f>
        <v>9</v>
      </c>
      <c r="I40" s="113" t="str">
        <f>'Active &amp; Renewals'!E8</f>
        <v>87.53</v>
      </c>
      <c r="J40" s="252" cm="1">
        <f t="array" ref="J40">_xlfn.IFS(VALUE(I40)&gt;=90.5,11,VALUE(I40)&gt;=85.5,10,VALUE(I40)&gt;=80.5,9,VALUE(I40)&gt;=75.5,8,VALUE(I40)&gt;=74.5,7,VALUE(I40)&gt;=70.5,6,VALUE(I40)&gt;=64.5,5,VALUE(I40)&gt;=60.5,4,VALUE(I40)&gt;=54.5,3,VALUE(I40)&gt;=50.5,2,VALUE(I40)&gt;=44.5,1,TRUE,0)</f>
        <v>10</v>
      </c>
      <c r="K40" s="195">
        <v>1647</v>
      </c>
      <c r="L40" s="195">
        <f>Donations!B62</f>
        <v>2237</v>
      </c>
      <c r="M40" s="267">
        <f t="shared" ref="M40:M46" si="47">+L40-K40</f>
        <v>590</v>
      </c>
      <c r="N40" s="268">
        <f t="shared" ref="N40:N46" si="48">+L40/K40</f>
        <v>1.3582270795385549</v>
      </c>
      <c r="O40" s="252" cm="1">
        <f t="array" ref="O40">_xlfn.IFS(N40&gt;=115.5%,11,N40&gt;=110.5%,10,N40&gt;=100.5%,9,N40&gt;=99.5%,8,N40&gt;=89.5%,7,N40&gt;=75.5%,6,N40&gt;=60.5%,5,N40&gt;=45.5%,4,N40&gt;=30.5%,3,N40&gt;=15.5%,2,N40&gt;=0.5%,1,TRUE,0)</f>
        <v>11</v>
      </c>
      <c r="P40" s="12">
        <f t="shared" ref="P40:P46" si="49">+L40/E40</f>
        <v>5.795336787564767</v>
      </c>
      <c r="Q40" s="252" cm="1">
        <f t="array" ref="Q40">_xlfn.IFS(P40&gt;10,11,P40&gt;=8.01,10,P40&gt;=6.01,9,P40&gt;=4.01,8,P40=4,7,P40&gt;=3.01,6,P40&gt;=2.01,5,P40&gt;=1.51,4,P40&gt;=1.01,3,P40&gt;=0.51,2,P40&gt;=0.01,1,TRUE,0)</f>
        <v>8</v>
      </c>
      <c r="R40" s="269">
        <v>1158</v>
      </c>
      <c r="S40" s="193">
        <f>Donations!C62</f>
        <v>936</v>
      </c>
      <c r="T40" s="279">
        <f t="shared" ref="T40:T46" si="50">+S40/(R40/3)</f>
        <v>2.4248704663212437</v>
      </c>
      <c r="U40" s="10">
        <f t="shared" ref="U40:U46" si="51">+S40-R40</f>
        <v>-222</v>
      </c>
      <c r="V40" s="252" cm="1">
        <f t="array" ref="V40">_xlfn.IFS(T40&gt;=120%,11,T40&gt;=110.5%,10,T40&gt;=100.5%,9,T40&gt;99.9%,8,T40&gt;=85.5%,7,T40&gt;=72.5%,6,T40&gt;=65.5%,5,T40&gt;=55.5%,4,T40&gt;=45.5%,3,T40&gt;=35.5%,2,T40&gt;=20.5%,1,TRUE,0)</f>
        <v>11</v>
      </c>
      <c r="W40" s="269">
        <f t="shared" ref="W40:W46" si="52">E40*0.15</f>
        <v>57.9</v>
      </c>
      <c r="X40" s="193">
        <f>Donations!D62</f>
        <v>550</v>
      </c>
      <c r="Y40" s="269">
        <f t="shared" ref="Y40:Y46" si="53">+X40/E40</f>
        <v>1.4248704663212435</v>
      </c>
      <c r="Z40" s="252" cm="1">
        <f t="array" ref="Z40">_xlfn.IFS(Y40&gt;=0.26,11,Y40&gt;=0.21,10,Y40&gt;=0.16,9,Y40=0.15,8,Y40=0.14,7,Y40=0.13,6,Y40&gt;=0.11,5,Y40&gt;=0.09,4,Y40&gt;=0.07,3,Y40&gt;=0.04,2,Y40&gt;=0.01,1,TRUE,0)</f>
        <v>11</v>
      </c>
      <c r="AA40" s="8" t="str">
        <f>'Active &amp; Renewals'!F8</f>
        <v>SUPERIOR</v>
      </c>
      <c r="AB40" s="281" cm="1">
        <f t="array" ref="AB40">_xlfn.IFS(AA40="SUPERIOR",11,AA40="EXCELLENT",9,AA40="GOOD",7,AA40="LATE",5,AA40="NO GRADE",3,AA40="NA",2,AA40="NO REPORT",0)</f>
        <v>11</v>
      </c>
      <c r="AC40" s="8" t="str">
        <f>'Active &amp; Renewals'!H8</f>
        <v>SUPERIOR</v>
      </c>
      <c r="AD40" s="281" cm="1">
        <f t="array" ref="AD40">_xlfn.IFS(AC40="SUPERIOR",11,AC40="EXCELLENT",9,AC40="GOOD",7,AC40="LATE",5,AC40="NO GRADE",3,AC40="NA",2,AC40="NO REPORT",0)</f>
        <v>11</v>
      </c>
      <c r="AE40" s="284" t="str">
        <f>'Active &amp; Renewals'!J8</f>
        <v>NO REPORT</v>
      </c>
      <c r="AF40" s="281" cm="1">
        <f t="array" ref="AF40">_xlfn.IFS(AE40="SUPERIOR",11,AE40="EXCELLENT",9,AE40="GOOD",7,AE40="LATE",5,AE40="NO GRADE",3,AE40="NA",2,AE40="NO REPORT",0)</f>
        <v>0</v>
      </c>
      <c r="AG40" s="282" t="str">
        <f>'Active &amp; Renewals'!L8</f>
        <v>NO REPORT</v>
      </c>
      <c r="AH40" s="281" cm="1">
        <f t="array" ref="AH40">_xlfn.IFS(AG40="SUPERIOR",11,AG40="EXCELLENT",9,AG40="GOOD",7,AG40="LATE",5,AG40="NO GRADE",3,AG40="NA",2,AG40="NO REPORT",0)</f>
        <v>0</v>
      </c>
      <c r="AI40" s="252">
        <f t="shared" ref="AI40:AI46" si="54">SUM(AB40+AD40+AF40+AH40)</f>
        <v>22</v>
      </c>
      <c r="AJ40" s="188" t="s">
        <v>656</v>
      </c>
      <c r="AK40" s="252" cm="1">
        <f t="array" ref="AK40">_xlfn.IFS(AJ40="8/8",11,AJ40="7/8",7,AJ40="6/8",6,AJ40="5/8",5,AJ40="4/8",4,AJ40="3/8",3,AJ40="2/8",2,AJ40="1/8",1,AJ40="0/8",0,TRUE,0)</f>
        <v>7</v>
      </c>
      <c r="AL40" s="189">
        <v>3</v>
      </c>
      <c r="AM40" s="300" cm="1">
        <f t="array" ref="AM40">_xlfn.IFS(AL40&gt;6,11,AL40&gt;=4,10,AL40&gt;=2,9,AL40=1,8,TRUE,0)</f>
        <v>9</v>
      </c>
      <c r="AN40" s="280">
        <f>Donations!E62</f>
        <v>300</v>
      </c>
      <c r="AO40" s="300" cm="1">
        <f t="array" ref="AO40">_xlfn.IFS(AN40&gt;125,11,AN40&gt;=116,10,AN40&gt;=101,9,AN40=100,8,AN40&gt;=86,7,AN40&gt;=71,6,AN40&gt;=61,5,AN40&gt;=51,4,AN40&gt;=41,3,AN40&gt;=26,2,AN40&gt;=1,1,TRUE,0)</f>
        <v>11</v>
      </c>
      <c r="AP40" s="190">
        <f>Donations!F62</f>
        <v>50</v>
      </c>
      <c r="AQ40" s="300" cm="1">
        <f t="array" ref="AQ40">_xlfn.IFS(AP40&gt;600,11,AP40&gt;=551,10,AP40&gt;=501,9,AP40=500,8,AP40&gt;=326,7,AP40&gt;=251,6,AP40&gt;=201,5,AP40&gt;=151,4,AP40&gt;=101,3,AP40&gt;=76,2,AP40&gt;=1,1,TRUE,0)</f>
        <v>1</v>
      </c>
      <c r="AR40" s="349">
        <v>4</v>
      </c>
      <c r="AS40" s="349">
        <v>4</v>
      </c>
      <c r="AT40" s="349">
        <v>1</v>
      </c>
      <c r="AU40" s="352">
        <f t="shared" ref="AU40" si="55">+AR40+AS40+AT40</f>
        <v>9</v>
      </c>
      <c r="AV40" s="191">
        <v>0</v>
      </c>
      <c r="AW40" s="191">
        <v>1</v>
      </c>
      <c r="AX40" s="187">
        <v>4</v>
      </c>
      <c r="AY40" s="252">
        <f t="shared" ref="AY40:AY46" si="56">+AV40+AW40+AX40</f>
        <v>5</v>
      </c>
      <c r="AZ40" s="192"/>
      <c r="BA40" s="181"/>
      <c r="BB40" s="193">
        <v>0</v>
      </c>
      <c r="BC40" s="252" cm="1">
        <f t="array" ref="BC40">_xlfn.IFS(BB40=0,11,TRUE,0)</f>
        <v>11</v>
      </c>
      <c r="BD40" s="183">
        <v>0</v>
      </c>
      <c r="BE40" s="183">
        <v>0</v>
      </c>
      <c r="BF40" s="183">
        <v>4</v>
      </c>
      <c r="BG40" s="252">
        <f t="shared" ref="BG40:BG46" si="57">SUM(BD40+BE40+BF40)</f>
        <v>4</v>
      </c>
      <c r="BH40" s="183">
        <v>0</v>
      </c>
      <c r="BI40" s="183">
        <v>0</v>
      </c>
      <c r="BJ40" s="183">
        <v>3</v>
      </c>
      <c r="BK40" s="252">
        <f t="shared" ref="BK40:BK46" si="58">SUM(BH40+BI40+BJ40)</f>
        <v>3</v>
      </c>
    </row>
    <row r="41" spans="1:63" ht="15.75" x14ac:dyDescent="0.25">
      <c r="A41" s="180" t="s">
        <v>85</v>
      </c>
      <c r="B41" s="252">
        <f t="shared" si="45"/>
        <v>74</v>
      </c>
      <c r="C41" s="253">
        <f t="shared" ref="C41:C46" si="59">RANK(B41,$B$40:$B$46)</f>
        <v>7</v>
      </c>
      <c r="D41" s="13">
        <f>'Lodge Rank by District'!E29</f>
        <v>99</v>
      </c>
      <c r="E41" s="9" t="str">
        <f>'Active &amp; Renewals'!C49</f>
        <v>367</v>
      </c>
      <c r="F41" s="9" t="str">
        <f>'Active &amp; Renewals'!D49</f>
        <v>396</v>
      </c>
      <c r="G41" s="2">
        <f t="shared" si="46"/>
        <v>29</v>
      </c>
      <c r="H41" s="252" cm="1">
        <f t="array" ref="H41">_xlfn.IFS(G41&gt;20,11,G41&gt;11,10,G41&gt;2,9,G41&gt;0,8,G41&gt;-6,7,G41&gt;-11,6,G41&gt;-16,5,G41&gt;-21,4,G41&gt;-26,3,G41&gt;-31,2,G41&gt;-36,1,TRUE,0)</f>
        <v>11</v>
      </c>
      <c r="I41" s="113" t="str">
        <f>'Active &amp; Renewals'!E49</f>
        <v>79.56</v>
      </c>
      <c r="J41" s="252" cm="1">
        <f t="array" ref="J41">_xlfn.IFS(VALUE(I41)&gt;=90.5,11,VALUE(I41)&gt;=85.5,10,VALUE(I41)&gt;=80.5,9,VALUE(I41)&gt;=75.5,8,VALUE(I41)&gt;=74.5,7,VALUE(I41)&gt;=70.5,6,VALUE(I41)&gt;=64.5,5,VALUE(I41)&gt;=60.5,4,VALUE(I41)&gt;=54.5,3,VALUE(I41)&gt;=50.5,2,VALUE(I41)&gt;=44.5,1,TRUE,0)</f>
        <v>8</v>
      </c>
      <c r="K41" s="195">
        <v>1700</v>
      </c>
      <c r="L41" s="195">
        <f>Donations!B50</f>
        <v>900</v>
      </c>
      <c r="M41" s="267">
        <f t="shared" si="47"/>
        <v>-800</v>
      </c>
      <c r="N41" s="268">
        <f t="shared" si="48"/>
        <v>0.52941176470588236</v>
      </c>
      <c r="O41" s="252" cm="1">
        <f t="array" ref="O41">_xlfn.IFS(N41&gt;=115.5%,11,N41&gt;=110.5%,10,N41&gt;=100.5%,9,N41&gt;=99.5%,8,N41&gt;=89.5%,7,N41&gt;=75.5%,6,N41&gt;=60.5%,5,N41&gt;=45.5%,4,N41&gt;=30.5%,3,N41&gt;=15.5%,2,N41&gt;=0.5%,1,TRUE,0)</f>
        <v>4</v>
      </c>
      <c r="P41" s="12">
        <f t="shared" si="49"/>
        <v>2.4523160762942777</v>
      </c>
      <c r="Q41" s="252" cm="1">
        <f t="array" ref="Q41">_xlfn.IFS(P41&gt;10,11,P41&gt;=8.01,10,P41&gt;=6.01,9,P41&gt;=4.01,8,P41=4,7,P41&gt;=3.01,6,P41&gt;=2.01,5,P41&gt;=1.51,4,P41&gt;=1.01,3,P41&gt;=0.51,2,P41&gt;=0.01,1,TRUE,0)</f>
        <v>5</v>
      </c>
      <c r="R41" s="269">
        <v>1101</v>
      </c>
      <c r="S41" s="193">
        <f>Donations!C50</f>
        <v>0</v>
      </c>
      <c r="T41" s="279">
        <f t="shared" si="50"/>
        <v>0</v>
      </c>
      <c r="U41" s="10">
        <f t="shared" si="51"/>
        <v>-1101</v>
      </c>
      <c r="V41" s="252" cm="1">
        <f t="array" ref="V41">_xlfn.IFS(T41&gt;=120%,11,T41&gt;=110.5%,10,T41&gt;=100.5%,9,T41&gt;99.9%,8,T41&gt;=85.5%,7,T41&gt;=72.5%,6,T41&gt;=65.5%,5,T41&gt;=55.5%,4,T41&gt;=45.5%,3,T41&gt;=35.5%,2,T41&gt;=20.5%,1,TRUE,0)</f>
        <v>0</v>
      </c>
      <c r="W41" s="269">
        <f t="shared" si="52"/>
        <v>55.05</v>
      </c>
      <c r="X41" s="193">
        <f>Donations!D50</f>
        <v>0</v>
      </c>
      <c r="Y41" s="269">
        <f t="shared" si="53"/>
        <v>0</v>
      </c>
      <c r="Z41" s="252" cm="1">
        <f t="array" ref="Z41">_xlfn.IFS(Y41&gt;=0.26,11,Y41&gt;=0.21,10,Y41&gt;=0.16,9,Y41=0.15,8,Y41=0.14,7,Y41=0.13,6,Y41&gt;=0.11,5,Y41&gt;=0.09,4,Y41&gt;=0.07,3,Y41&gt;=0.04,2,Y41&gt;=0.01,1,TRUE,0)</f>
        <v>0</v>
      </c>
      <c r="AA41" s="8" t="str">
        <f>'Active &amp; Renewals'!F49</f>
        <v>NO GRADE</v>
      </c>
      <c r="AB41" s="281" cm="1">
        <f t="array" ref="AB41">_xlfn.IFS(AA41="SUPERIOR",11,AA41="EXCELLENT",9,AA41="GOOD",7,AA41="LATE",5,AA41="NO GRADE",3,AA41="NA",2,AA41="NO REPORT",0)</f>
        <v>3</v>
      </c>
      <c r="AC41" s="8" t="str">
        <f>'Active &amp; Renewals'!H49</f>
        <v>NO GRADE</v>
      </c>
      <c r="AD41" s="281" cm="1">
        <f t="array" ref="AD41">_xlfn.IFS(AC41="SUPERIOR",11,AC41="EXCELLENT",9,AC41="GOOD",7,AC41="LATE",5,AC41="NO GRADE",3,AC41="NA",2,AC41="NO REPORT",0)</f>
        <v>3</v>
      </c>
      <c r="AE41" s="284" t="str">
        <f>'Active &amp; Renewals'!J49</f>
        <v>NO REPORT</v>
      </c>
      <c r="AF41" s="281" cm="1">
        <f t="array" ref="AF41">_xlfn.IFS(AE41="SUPERIOR",11,AE41="EXCELLENT",9,AE41="GOOD",7,AE41="LATE",5,AE41="NO GRADE",3,AE41="NA",2,AE41="NO REPORT",0)</f>
        <v>0</v>
      </c>
      <c r="AG41" s="282" t="str">
        <f>'Active &amp; Renewals'!L49</f>
        <v>NO REPORT</v>
      </c>
      <c r="AH41" s="281" cm="1">
        <f t="array" ref="AH41">_xlfn.IFS(AG41="SUPERIOR",11,AG41="EXCELLENT",9,AG41="GOOD",7,AG41="LATE",5,AG41="NO GRADE",3,AG41="NA",2,AG41="NO REPORT",0)</f>
        <v>0</v>
      </c>
      <c r="AI41" s="252">
        <f t="shared" si="54"/>
        <v>6</v>
      </c>
      <c r="AJ41" s="227" t="s">
        <v>662</v>
      </c>
      <c r="AK41" s="252" cm="1">
        <f t="array" ref="AK41">_xlfn.IFS(AJ41="8/8",11,AJ41="7/8",7,AJ41="6/8",6,AJ41="5/8",5,AJ41="4/8",4,AJ41="3/8",3,AJ41="2/8",2,AJ41="1/8",1,AJ41="0/8",0,AJ41="6/6",11,AJ41="5/6",7,AJ41="4/6",5,AJ41="3/6",4,AJ41="2/6",2,AJ41="1/6",1,TRUE,0)</f>
        <v>2</v>
      </c>
      <c r="AL41" s="189">
        <v>1</v>
      </c>
      <c r="AM41" s="300" cm="1">
        <f t="array" ref="AM41">_xlfn.IFS(AL41&gt;6,11,AL41&gt;=4,10,AL41&gt;=2,9,AL41=1,8,TRUE,0)</f>
        <v>8</v>
      </c>
      <c r="AN41" s="283">
        <f>Donations!E50</f>
        <v>0</v>
      </c>
      <c r="AO41" s="300" cm="1">
        <f t="array" ref="AO41">_xlfn.IFS(AN41&gt;125,11,AN41&gt;=116,10,AN41&gt;=101,9,AN41=100,8,AN41&gt;=86,7,AN41&gt;=71,6,AN41&gt;=61,5,AN41&gt;=51,4,AN41&gt;=41,3,AN41&gt;=26,2,AN41&gt;=1,1,TRUE,0)</f>
        <v>0</v>
      </c>
      <c r="AP41" s="190">
        <f>Donations!F50</f>
        <v>0</v>
      </c>
      <c r="AQ41" s="300" cm="1">
        <f t="array" ref="AQ41">_xlfn.IFS(AP41&gt;600,11,AP41&gt;=551,10,AP41&gt;=501,9,AP41=500,8,AP41&gt;=326,7,AP41&gt;=251,6,AP41&gt;=201,5,AP41&gt;=151,4,AP41&gt;=101,3,AP41&gt;=76,2,AP41&gt;=1,1,TRUE,0)</f>
        <v>0</v>
      </c>
      <c r="AR41" s="350"/>
      <c r="AS41" s="350"/>
      <c r="AT41" s="350"/>
      <c r="AU41" s="353"/>
      <c r="AV41" s="191">
        <v>2</v>
      </c>
      <c r="AW41" s="191">
        <v>2</v>
      </c>
      <c r="AX41" s="187">
        <v>3</v>
      </c>
      <c r="AY41" s="252">
        <f t="shared" si="56"/>
        <v>7</v>
      </c>
      <c r="AZ41" s="192"/>
      <c r="BA41" s="181"/>
      <c r="BB41" s="193">
        <v>0</v>
      </c>
      <c r="BC41" s="252" cm="1">
        <f t="array" ref="BC41">_xlfn.IFS(BB41=0,11,TRUE,0)</f>
        <v>11</v>
      </c>
      <c r="BD41" s="183">
        <v>0</v>
      </c>
      <c r="BE41" s="183">
        <v>0</v>
      </c>
      <c r="BF41" s="183">
        <v>4</v>
      </c>
      <c r="BG41" s="252">
        <f t="shared" si="57"/>
        <v>4</v>
      </c>
      <c r="BH41" s="183">
        <v>3</v>
      </c>
      <c r="BI41" s="183">
        <v>3</v>
      </c>
      <c r="BJ41" s="183">
        <v>2</v>
      </c>
      <c r="BK41" s="252">
        <f t="shared" si="58"/>
        <v>8</v>
      </c>
    </row>
    <row r="42" spans="1:63" ht="15.75" x14ac:dyDescent="0.25">
      <c r="A42" s="180" t="s">
        <v>84</v>
      </c>
      <c r="B42" s="252">
        <f t="shared" si="45"/>
        <v>159</v>
      </c>
      <c r="C42" s="253">
        <f t="shared" si="59"/>
        <v>1</v>
      </c>
      <c r="D42" s="13">
        <f>'Lodge Rank by District'!E30</f>
        <v>12</v>
      </c>
      <c r="E42" s="9" t="str">
        <f>'Active &amp; Renewals'!C50</f>
        <v>667</v>
      </c>
      <c r="F42" s="9" t="str">
        <f>'Active &amp; Renewals'!D50</f>
        <v>699</v>
      </c>
      <c r="G42" s="2">
        <f t="shared" si="46"/>
        <v>32</v>
      </c>
      <c r="H42" s="252" cm="1">
        <f t="array" ref="H42">_xlfn.IFS(G42&gt;20,11,G42&gt;11,10,G42&gt;2,9,G42&gt;0,8,G42&gt;-6,7,G42&gt;-11,6,G42&gt;-16,5,G42&gt;-21,4,G42&gt;-26,3,G42&gt;-31,2,G42&gt;-36,1,TRUE,0)</f>
        <v>11</v>
      </c>
      <c r="I42" s="113" t="str">
        <f>'Active &amp; Renewals'!E50</f>
        <v>86.49</v>
      </c>
      <c r="J42" s="252" cm="1">
        <f t="array" ref="J42">_xlfn.IFS(VALUE(I42)&gt;=90.5,11,VALUE(I42)&gt;=85.5,10,VALUE(I42)&gt;=80.5,9,VALUE(I42)&gt;=75.5,8,VALUE(I42)&gt;=74.5,7,VALUE(I42)&gt;=70.5,6,VALUE(I42)&gt;=64.5,5,VALUE(I42)&gt;=60.5,4,VALUE(I42)&gt;=54.5,3,VALUE(I42)&gt;=50.5,2,VALUE(I42)&gt;=44.5,1,TRUE,0)</f>
        <v>10</v>
      </c>
      <c r="K42" s="195">
        <v>6654.15</v>
      </c>
      <c r="L42" s="195">
        <f>Donations!B13</f>
        <v>9026.59</v>
      </c>
      <c r="M42" s="267">
        <f t="shared" si="47"/>
        <v>2372.4400000000005</v>
      </c>
      <c r="N42" s="268">
        <f t="shared" si="48"/>
        <v>1.3565353952044965</v>
      </c>
      <c r="O42" s="252" cm="1">
        <f t="array" ref="O42">_xlfn.IFS(N42&gt;=115.5%,11,N42&gt;=110.5%,10,N42&gt;=100.5%,9,N42&gt;=99.5%,8,N42&gt;=89.5%,7,N42&gt;=75.5%,6,N42&gt;=60.5%,5,N42&gt;=45.5%,4,N42&gt;=30.5%,3,N42&gt;=15.5%,2,N42&gt;=0.5%,1,TRUE,0)</f>
        <v>11</v>
      </c>
      <c r="P42" s="12">
        <f t="shared" si="49"/>
        <v>13.53311844077961</v>
      </c>
      <c r="Q42" s="252" cm="1">
        <f t="array" ref="Q42">_xlfn.IFS(P42&gt;10,11,P42&gt;=8.01,10,P42&gt;=6.01,9,P42&gt;=4.01,8,P42=4,7,P42&gt;=3.01,6,P42&gt;=2.01,5,P42&gt;=1.51,4,P42&gt;=1.01,3,P42&gt;=0.51,2,P42&gt;=0.01,1,TRUE,0)</f>
        <v>11</v>
      </c>
      <c r="R42" s="269">
        <v>2001</v>
      </c>
      <c r="S42" s="193">
        <f>Donations!C13</f>
        <v>767</v>
      </c>
      <c r="T42" s="279">
        <f t="shared" si="50"/>
        <v>1.1499250374812593</v>
      </c>
      <c r="U42" s="10">
        <f t="shared" si="51"/>
        <v>-1234</v>
      </c>
      <c r="V42" s="252" cm="1">
        <f t="array" ref="V42">_xlfn.IFS(T42&gt;=120%,11,T42&gt;=110.5%,10,T42&gt;=100.5%,9,T42&gt;99.9%,8,T42&gt;=85.5%,7,T42&gt;=72.5%,6,T42&gt;=65.5%,5,T42&gt;=55.5%,4,T42&gt;=45.5%,3,T42&gt;=35.5%,2,T42&gt;=20.5%,1,TRUE,0)</f>
        <v>10</v>
      </c>
      <c r="W42" s="269">
        <f t="shared" si="52"/>
        <v>100.05</v>
      </c>
      <c r="X42" s="193">
        <f>Donations!D13</f>
        <v>250</v>
      </c>
      <c r="Y42" s="269">
        <f t="shared" si="53"/>
        <v>0.3748125937031484</v>
      </c>
      <c r="Z42" s="252" cm="1">
        <f t="array" ref="Z42">_xlfn.IFS(Y42&gt;=0.26,11,Y42&gt;=0.21,10,Y42&gt;=0.16,9,Y42=0.15,8,Y42=0.14,7,Y42=0.13,6,Y42&gt;=0.11,5,Y42&gt;=0.09,4,Y42&gt;=0.07,3,Y42&gt;=0.04,2,Y42&gt;=0.01,1,TRUE,0)</f>
        <v>11</v>
      </c>
      <c r="AA42" s="8" t="str">
        <f>'Active &amp; Renewals'!F50</f>
        <v>SUPERIOR</v>
      </c>
      <c r="AB42" s="281" cm="1">
        <f t="array" ref="AB42">_xlfn.IFS(AA42="SUPERIOR",11,AA42="EXCELLENT",9,AA42="GOOD",7,AA42="LATE",5,AA42="NO GRADE",3,AA42="NA",2,AA42="NO REPORT",0)</f>
        <v>11</v>
      </c>
      <c r="AC42" s="8" t="str">
        <f>'Active &amp; Renewals'!H50</f>
        <v>SUPERIOR</v>
      </c>
      <c r="AD42" s="281" cm="1">
        <f t="array" ref="AD42">_xlfn.IFS(AC42="SUPERIOR",11,AC42="EXCELLENT",9,AC42="GOOD",7,AC42="LATE",5,AC42="NO GRADE",3,AC42="NA",2,AC42="NO REPORT",0)</f>
        <v>11</v>
      </c>
      <c r="AE42" s="284" t="str">
        <f>'Active &amp; Renewals'!J50</f>
        <v>NO REPORT</v>
      </c>
      <c r="AF42" s="281" cm="1">
        <f t="array" ref="AF42">_xlfn.IFS(AE42="SUPERIOR",11,AE42="EXCELLENT",9,AE42="GOOD",7,AE42="LATE",5,AE42="NO GRADE",3,AE42="NA",2,AE42="NO REPORT",0)</f>
        <v>0</v>
      </c>
      <c r="AG42" s="282" t="str">
        <f>'Active &amp; Renewals'!L50</f>
        <v>NO REPORT</v>
      </c>
      <c r="AH42" s="281" cm="1">
        <f t="array" ref="AH42">_xlfn.IFS(AG42="SUPERIOR",11,AG42="EXCELLENT",9,AG42="GOOD",7,AG42="LATE",5,AG42="NO GRADE",3,AG42="NA",2,AG42="NO REPORT",0)</f>
        <v>0</v>
      </c>
      <c r="AI42" s="252">
        <f t="shared" si="54"/>
        <v>22</v>
      </c>
      <c r="AJ42" s="188" t="s">
        <v>658</v>
      </c>
      <c r="AK42" s="252" cm="1">
        <f t="array" ref="AK42">_xlfn.IFS(AJ42="8/8",11,AJ42="7/8",7,AJ42="6/8",6,AJ42="5/8",5,AJ42="4/8",4,AJ42="3/8",3,AJ42="2/8",2,AJ42="1/8",1,AJ42="0/8",0,TRUE,0)</f>
        <v>4</v>
      </c>
      <c r="AL42" s="189">
        <v>4</v>
      </c>
      <c r="AM42" s="300" cm="1">
        <f t="array" ref="AM42">_xlfn.IFS(AL42&gt;6,11,AL42&gt;=4,10,AL42&gt;=2,9,AL42=1,8,TRUE,0)</f>
        <v>10</v>
      </c>
      <c r="AN42" s="280">
        <f>Donations!E13</f>
        <v>150</v>
      </c>
      <c r="AO42" s="300" cm="1">
        <f t="array" ref="AO42">_xlfn.IFS(AN42&gt;125,11,AN42&gt;=116,10,AN42&gt;=101,9,AN42=100,8,AN42&gt;=86,7,AN42&gt;=71,6,AN42&gt;=61,5,AN42&gt;=51,4,AN42&gt;=41,3,AN42&gt;=26,2,AN42&gt;=1,1,TRUE,0)</f>
        <v>11</v>
      </c>
      <c r="AP42" s="190">
        <f>Donations!F13</f>
        <v>650</v>
      </c>
      <c r="AQ42" s="300" cm="1">
        <f t="array" ref="AQ42">_xlfn.IFS(AP42&gt;600,11,AP42&gt;=551,10,AP42&gt;=501,9,AP42=500,8,AP42&gt;=326,7,AP42&gt;=251,6,AP42&gt;=201,5,AP42&gt;=151,4,AP42&gt;=101,3,AP42&gt;=76,2,AP42&gt;=1,1,TRUE,0)</f>
        <v>11</v>
      </c>
      <c r="AR42" s="350"/>
      <c r="AS42" s="350"/>
      <c r="AT42" s="350"/>
      <c r="AU42" s="353"/>
      <c r="AV42" s="191">
        <v>4</v>
      </c>
      <c r="AW42" s="191">
        <v>3</v>
      </c>
      <c r="AX42" s="187">
        <v>1</v>
      </c>
      <c r="AY42" s="252">
        <f t="shared" si="56"/>
        <v>8</v>
      </c>
      <c r="AZ42" s="192"/>
      <c r="BA42" s="181"/>
      <c r="BB42" s="193">
        <v>0</v>
      </c>
      <c r="BC42" s="252" cm="1">
        <f t="array" ref="BC42">_xlfn.IFS(BB42=0,11,TRUE,0)</f>
        <v>11</v>
      </c>
      <c r="BD42" s="183">
        <v>4</v>
      </c>
      <c r="BE42" s="183">
        <v>4</v>
      </c>
      <c r="BF42" s="183">
        <v>4</v>
      </c>
      <c r="BG42" s="252">
        <f t="shared" si="57"/>
        <v>12</v>
      </c>
      <c r="BH42" s="183">
        <v>3</v>
      </c>
      <c r="BI42" s="183">
        <v>0</v>
      </c>
      <c r="BJ42" s="183">
        <v>3</v>
      </c>
      <c r="BK42" s="252">
        <f t="shared" si="58"/>
        <v>6</v>
      </c>
    </row>
    <row r="43" spans="1:63" ht="15.75" x14ac:dyDescent="0.25">
      <c r="A43" s="180" t="s">
        <v>83</v>
      </c>
      <c r="B43" s="252">
        <f t="shared" si="45"/>
        <v>145</v>
      </c>
      <c r="C43" s="253">
        <f t="shared" si="59"/>
        <v>2</v>
      </c>
      <c r="D43" s="13">
        <f>'Lodge Rank by District'!E31</f>
        <v>26</v>
      </c>
      <c r="E43" s="9" t="str">
        <f>'Active &amp; Renewals'!C56</f>
        <v>1337</v>
      </c>
      <c r="F43" s="9" t="str">
        <f>'Active &amp; Renewals'!D56</f>
        <v>1371</v>
      </c>
      <c r="G43" s="2">
        <f t="shared" si="46"/>
        <v>34</v>
      </c>
      <c r="H43" s="252" cm="1">
        <f t="array" ref="H43">_xlfn.IFS(G43&gt;20,11,G43&gt;11,10,G43&gt;2,9,G43&gt;0,8,G43&gt;-6,7,G43&gt;-11,6,G43&gt;-16,5,G43&gt;-21,4,G43&gt;-26,3,G43&gt;-31,2,G43&gt;-36,1,TRUE,0)</f>
        <v>11</v>
      </c>
      <c r="I43" s="113" t="str">
        <f>'Active &amp; Renewals'!E56</f>
        <v>85.50</v>
      </c>
      <c r="J43" s="252" cm="1">
        <f t="array" ref="J43">_xlfn.IFS(VALUE(I43)&gt;=90.5,11,VALUE(I43)&gt;=85.5,10,VALUE(I43)&gt;=80.5,9,VALUE(I43)&gt;=75.5,8,VALUE(I43)&gt;=74.5,7,VALUE(I43)&gt;=70.5,6,VALUE(I43)&gt;=64.5,5,VALUE(I43)&gt;=60.5,4,VALUE(I43)&gt;=54.5,3,VALUE(I43)&gt;=50.5,2,VALUE(I43)&gt;=44.5,1,TRUE,0)</f>
        <v>10</v>
      </c>
      <c r="K43" s="195">
        <v>7015</v>
      </c>
      <c r="L43" s="195">
        <f>Donations!B61</f>
        <v>7517</v>
      </c>
      <c r="M43" s="267">
        <f t="shared" si="47"/>
        <v>502</v>
      </c>
      <c r="N43" s="268">
        <f t="shared" si="48"/>
        <v>1.0715609408410549</v>
      </c>
      <c r="O43" s="252" cm="1">
        <f t="array" ref="O43">_xlfn.IFS(N43&gt;=115.5%,11,N43&gt;=110.5%,10,N43&gt;=100.5%,9,N43&gt;=99.5%,8,N43&gt;=89.5%,7,N43&gt;=75.5%,6,N43&gt;=60.5%,5,N43&gt;=45.5%,4,N43&gt;=30.5%,3,N43&gt;=15.5%,2,N43&gt;=0.5%,1,TRUE,0)</f>
        <v>9</v>
      </c>
      <c r="P43" s="12">
        <f t="shared" si="49"/>
        <v>5.62228870605834</v>
      </c>
      <c r="Q43" s="252" cm="1">
        <f t="array" ref="Q43">_xlfn.IFS(P43&gt;10,11,P43&gt;=8.01,10,P43&gt;=6.01,9,P43&gt;=4.01,8,P43=4,7,P43&gt;=3.01,6,P43&gt;=2.01,5,P43&gt;=1.51,4,P43&gt;=1.01,3,P43&gt;=0.51,2,P43&gt;=0.01,1,TRUE,0)</f>
        <v>8</v>
      </c>
      <c r="R43" s="269">
        <v>4011</v>
      </c>
      <c r="S43" s="193">
        <f>Donations!C61</f>
        <v>0</v>
      </c>
      <c r="T43" s="279">
        <f t="shared" si="50"/>
        <v>0</v>
      </c>
      <c r="U43" s="10">
        <f t="shared" si="51"/>
        <v>-4011</v>
      </c>
      <c r="V43" s="252" cm="1">
        <f t="array" ref="V43">_xlfn.IFS(T43&gt;=120%,11,T43&gt;=110.5%,10,T43&gt;=100.5%,9,T43&gt;99.9%,8,T43&gt;=85.5%,7,T43&gt;=72.5%,6,T43&gt;=65.5%,5,T43&gt;=55.5%,4,T43&gt;=45.5%,3,T43&gt;=35.5%,2,T43&gt;=20.5%,1,TRUE,0)</f>
        <v>0</v>
      </c>
      <c r="W43" s="269">
        <f t="shared" si="52"/>
        <v>200.54999999999998</v>
      </c>
      <c r="X43" s="193">
        <f>Donations!D61</f>
        <v>1900</v>
      </c>
      <c r="Y43" s="269">
        <f t="shared" si="53"/>
        <v>1.4210919970082274</v>
      </c>
      <c r="Z43" s="252" cm="1">
        <f t="array" ref="Z43">_xlfn.IFS(Y43&gt;=0.26,11,Y43&gt;=0.21,10,Y43&gt;=0.16,9,Y43=0.15,8,Y43=0.14,7,Y43=0.13,6,Y43&gt;=0.11,5,Y43&gt;=0.09,4,Y43&gt;=0.07,3,Y43&gt;=0.04,2,Y43&gt;=0.01,1,TRUE,0)</f>
        <v>11</v>
      </c>
      <c r="AA43" s="8" t="str">
        <f>'Active &amp; Renewals'!F56</f>
        <v>SUPERIOR</v>
      </c>
      <c r="AB43" s="281" cm="1">
        <f t="array" ref="AB43">_xlfn.IFS(AA43="SUPERIOR",11,AA43="EXCELLENT",9,AA43="GOOD",7,AA43="LATE",5,AA43="NO GRADE",3,AA43="NA",2,AA43="NO REPORT",0)</f>
        <v>11</v>
      </c>
      <c r="AC43" s="8" t="str">
        <f>'Active &amp; Renewals'!H56</f>
        <v>SUPERIOR</v>
      </c>
      <c r="AD43" s="281" cm="1">
        <f t="array" ref="AD43">_xlfn.IFS(AC43="SUPERIOR",11,AC43="EXCELLENT",9,AC43="GOOD",7,AC43="LATE",5,AC43="NO GRADE",3,AC43="NA",2,AC43="NO REPORT",0)</f>
        <v>11</v>
      </c>
      <c r="AE43" s="284" t="str">
        <f>'Active &amp; Renewals'!J56</f>
        <v>NO REPORT</v>
      </c>
      <c r="AF43" s="281" cm="1">
        <f t="array" ref="AF43">_xlfn.IFS(AE43="SUPERIOR",11,AE43="EXCELLENT",9,AE43="GOOD",7,AE43="LATE",5,AE43="NO GRADE",3,AE43="NA",2,AE43="NO REPORT",0)</f>
        <v>0</v>
      </c>
      <c r="AG43" s="282" t="str">
        <f>'Active &amp; Renewals'!L56</f>
        <v>NO REPORT</v>
      </c>
      <c r="AH43" s="281" cm="1">
        <f t="array" ref="AH43">_xlfn.IFS(AG43="SUPERIOR",11,AG43="EXCELLENT",9,AG43="GOOD",7,AG43="LATE",5,AG43="NO GRADE",3,AG43="NA",2,AG43="NO REPORT",0)</f>
        <v>0</v>
      </c>
      <c r="AI43" s="252">
        <f t="shared" si="54"/>
        <v>22</v>
      </c>
      <c r="AJ43" s="188" t="s">
        <v>658</v>
      </c>
      <c r="AK43" s="252" cm="1">
        <f t="array" ref="AK43">_xlfn.IFS(AJ43="8/8",11,AJ43="7/8",7,AJ43="6/8",6,AJ43="5/8",5,AJ43="4/8",4,AJ43="3/8",3,AJ43="2/8",2,AJ43="1/8",1,AJ43="0/8",0,TRUE,0)</f>
        <v>4</v>
      </c>
      <c r="AL43" s="189">
        <v>3</v>
      </c>
      <c r="AM43" s="300" cm="1">
        <f t="array" ref="AM43">_xlfn.IFS(AL43&gt;6,11,AL43&gt;=4,10,AL43&gt;=2,9,AL43=1,8,TRUE,0)</f>
        <v>9</v>
      </c>
      <c r="AN43" s="280">
        <f>Donations!E61</f>
        <v>400</v>
      </c>
      <c r="AO43" s="300" cm="1">
        <f t="array" ref="AO43">_xlfn.IFS(AN43&gt;125,11,AN43&gt;=116,10,AN43&gt;=101,9,AN43=100,8,AN43&gt;=86,7,AN43&gt;=71,6,AN43&gt;=61,5,AN43&gt;=51,4,AN43&gt;=41,3,AN43&gt;=26,2,AN43&gt;=1,1,TRUE,0)</f>
        <v>11</v>
      </c>
      <c r="AP43" s="190">
        <f>Donations!F61</f>
        <v>650</v>
      </c>
      <c r="AQ43" s="300" cm="1">
        <f t="array" ref="AQ43">_xlfn.IFS(AP43&gt;600,11,AP43&gt;=551,10,AP43&gt;=501,9,AP43=500,8,AP43&gt;=326,7,AP43&gt;=251,6,AP43&gt;=201,5,AP43&gt;=151,4,AP43&gt;=101,3,AP43&gt;=76,2,AP43&gt;=1,1,TRUE,0)</f>
        <v>11</v>
      </c>
      <c r="AR43" s="350"/>
      <c r="AS43" s="350"/>
      <c r="AT43" s="350"/>
      <c r="AU43" s="353"/>
      <c r="AV43" s="191">
        <v>3</v>
      </c>
      <c r="AW43" s="191">
        <v>1</v>
      </c>
      <c r="AX43" s="187">
        <v>4</v>
      </c>
      <c r="AY43" s="252">
        <f t="shared" si="56"/>
        <v>8</v>
      </c>
      <c r="AZ43" s="192"/>
      <c r="BA43" s="181"/>
      <c r="BB43" s="193">
        <v>0</v>
      </c>
      <c r="BC43" s="252" cm="1">
        <f t="array" ref="BC43">_xlfn.IFS(BB43=0,11,TRUE,0)</f>
        <v>11</v>
      </c>
      <c r="BD43" s="183">
        <v>3</v>
      </c>
      <c r="BE43" s="183">
        <v>4</v>
      </c>
      <c r="BF43" s="183">
        <v>4</v>
      </c>
      <c r="BG43" s="252">
        <f t="shared" si="57"/>
        <v>11</v>
      </c>
      <c r="BH43" s="183">
        <v>3</v>
      </c>
      <c r="BI43" s="183">
        <v>3</v>
      </c>
      <c r="BJ43" s="183">
        <v>3</v>
      </c>
      <c r="BK43" s="252">
        <f t="shared" si="58"/>
        <v>9</v>
      </c>
    </row>
    <row r="44" spans="1:63" ht="15.75" x14ac:dyDescent="0.25">
      <c r="A44" s="180" t="s">
        <v>82</v>
      </c>
      <c r="B44" s="252">
        <f t="shared" si="45"/>
        <v>88</v>
      </c>
      <c r="C44" s="253">
        <f t="shared" si="59"/>
        <v>6</v>
      </c>
      <c r="D44" s="13">
        <f>'Lodge Rank by District'!E32</f>
        <v>92</v>
      </c>
      <c r="E44" s="9" t="str">
        <f>'Active &amp; Renewals'!C62</f>
        <v>480</v>
      </c>
      <c r="F44" s="9" t="str">
        <f>'Active &amp; Renewals'!D62</f>
        <v>453</v>
      </c>
      <c r="G44" s="2">
        <f t="shared" si="46"/>
        <v>-27</v>
      </c>
      <c r="H44" s="252" cm="1">
        <f t="array" ref="H44">_xlfn.IFS(G44&gt;20,11,G44&gt;11,10,G44&gt;2,9,G44&gt;0,8,G44&gt;-6,7,G44&gt;-11,6,G44&gt;-16,5,G44&gt;-21,4,G44&gt;-26,3,G44&gt;-31,2,G44&gt;-36,1,TRUE,0)</f>
        <v>2</v>
      </c>
      <c r="I44" s="113" t="str">
        <f>'Active &amp; Renewals'!E62</f>
        <v>82.81</v>
      </c>
      <c r="J44" s="252" cm="1">
        <f t="array" ref="J44">_xlfn.IFS(VALUE(I44)&gt;=90.5,11,VALUE(I44)&gt;=85.5,10,VALUE(I44)&gt;=80.5,9,VALUE(I44)&gt;=75.5,8,VALUE(I44)&gt;=74.5,7,VALUE(I44)&gt;=70.5,6,VALUE(I44)&gt;=64.5,5,VALUE(I44)&gt;=60.5,4,VALUE(I44)&gt;=54.5,3,VALUE(I44)&gt;=50.5,2,VALUE(I44)&gt;=44.5,1,TRUE,0)</f>
        <v>9</v>
      </c>
      <c r="K44" s="195">
        <v>878</v>
      </c>
      <c r="L44" s="195">
        <f>Donations!B41</f>
        <v>1217</v>
      </c>
      <c r="M44" s="267">
        <f t="shared" si="47"/>
        <v>339</v>
      </c>
      <c r="N44" s="268">
        <f t="shared" si="48"/>
        <v>1.3861047835990887</v>
      </c>
      <c r="O44" s="252" cm="1">
        <f t="array" ref="O44">_xlfn.IFS(N44&gt;=115.5%,11,N44&gt;=110.5%,10,N44&gt;=100.5%,9,N44&gt;=99.5%,8,N44&gt;=89.5%,7,N44&gt;=75.5%,6,N44&gt;=60.5%,5,N44&gt;=45.5%,4,N44&gt;=30.5%,3,N44&gt;=15.5%,2,N44&gt;=0.5%,1,TRUE,0)</f>
        <v>11</v>
      </c>
      <c r="P44" s="12">
        <f t="shared" si="49"/>
        <v>2.5354166666666669</v>
      </c>
      <c r="Q44" s="252" cm="1">
        <f t="array" ref="Q44">_xlfn.IFS(P44&gt;10,11,P44&gt;=8.01,10,P44&gt;=6.01,9,P44&gt;=4.01,8,P44=4,7,P44&gt;=3.01,6,P44&gt;=2.01,5,P44&gt;=1.51,4,P44&gt;=1.01,3,P44&gt;=0.51,2,P44&gt;=0.01,1,TRUE,0)</f>
        <v>5</v>
      </c>
      <c r="R44" s="269">
        <v>1440</v>
      </c>
      <c r="S44" s="193">
        <f>Donations!C41</f>
        <v>0</v>
      </c>
      <c r="T44" s="279">
        <f t="shared" si="50"/>
        <v>0</v>
      </c>
      <c r="U44" s="10">
        <f t="shared" si="51"/>
        <v>-1440</v>
      </c>
      <c r="V44" s="252" cm="1">
        <f t="array" ref="V44">_xlfn.IFS(T44&gt;=120%,11,T44&gt;=110.5%,10,T44&gt;=100.5%,9,T44&gt;99.9%,8,T44&gt;=85.5%,7,T44&gt;=72.5%,6,T44&gt;=65.5%,5,T44&gt;=55.5%,4,T44&gt;=45.5%,3,T44&gt;=35.5%,2,T44&gt;=20.5%,1,TRUE,0)</f>
        <v>0</v>
      </c>
      <c r="W44" s="269">
        <f t="shared" si="52"/>
        <v>72</v>
      </c>
      <c r="X44" s="193">
        <f>Donations!D41</f>
        <v>400</v>
      </c>
      <c r="Y44" s="269">
        <f t="shared" si="53"/>
        <v>0.83333333333333337</v>
      </c>
      <c r="Z44" s="252" cm="1">
        <f t="array" ref="Z44">_xlfn.IFS(Y44&gt;=0.26,11,Y44&gt;=0.21,10,Y44&gt;=0.16,9,Y44=0.15,8,Y44=0.14,7,Y44=0.13,6,Y44&gt;=0.11,5,Y44&gt;=0.09,4,Y44&gt;=0.07,3,Y44&gt;=0.04,2,Y44&gt;=0.01,1,TRUE,0)</f>
        <v>11</v>
      </c>
      <c r="AA44" s="8" t="str">
        <f>'Active &amp; Renewals'!F62</f>
        <v>EXCELLENT</v>
      </c>
      <c r="AB44" s="281" cm="1">
        <f t="array" ref="AB44">_xlfn.IFS(AA44="SUPERIOR",11,AA44="EXCELLENT",9,AA44="GOOD",7,AA44="LATE",5,AA44="NO GRADE",3,AA44="NA",2,AA44="NO REPORT",0)</f>
        <v>9</v>
      </c>
      <c r="AC44" s="8" t="str">
        <f>'Active &amp; Renewals'!H62</f>
        <v>SUPERIOR</v>
      </c>
      <c r="AD44" s="281" cm="1">
        <f t="array" ref="AD44">_xlfn.IFS(AC44="SUPERIOR",11,AC44="EXCELLENT",9,AC44="GOOD",7,AC44="LATE",5,AC44="NO GRADE",3,AC44="NA",2,AC44="NO REPORT",0)</f>
        <v>11</v>
      </c>
      <c r="AE44" s="284" t="str">
        <f>'Active &amp; Renewals'!J62</f>
        <v>NO REPORT</v>
      </c>
      <c r="AF44" s="281" cm="1">
        <f t="array" ref="AF44">_xlfn.IFS(AE44="SUPERIOR",11,AE44="EXCELLENT",9,AE44="GOOD",7,AE44="LATE",5,AE44="NO GRADE",3,AE44="NA",2,AE44="NO REPORT",0)</f>
        <v>0</v>
      </c>
      <c r="AG44" s="282" t="str">
        <f>'Active &amp; Renewals'!L62</f>
        <v>NO REPORT</v>
      </c>
      <c r="AH44" s="281" cm="1">
        <f t="array" ref="AH44">_xlfn.IFS(AG44="SUPERIOR",11,AG44="EXCELLENT",9,AG44="GOOD",7,AG44="LATE",5,AG44="NO GRADE",3,AG44="NA",2,AG44="NO REPORT",0)</f>
        <v>0</v>
      </c>
      <c r="AI44" s="252">
        <f t="shared" si="54"/>
        <v>20</v>
      </c>
      <c r="AJ44" s="188" t="s">
        <v>653</v>
      </c>
      <c r="AK44" s="252" cm="1">
        <f t="array" ref="AK44">_xlfn.IFS(AJ44="8/8",11,AJ44="7/8",7,AJ44="6/8",6,AJ44="5/8",5,AJ44="4/8",4,AJ44="3/8",3,AJ44="2/8",2,AJ44="1/8",1,AJ44="0/8",0,TRUE,0)</f>
        <v>6</v>
      </c>
      <c r="AL44" s="189">
        <v>0</v>
      </c>
      <c r="AM44" s="300" cm="1">
        <f t="array" ref="AM44">_xlfn.IFS(AL44&gt;6,11,AL44&gt;=4,10,AL44&gt;=2,9,AL44=1,8,TRUE,0)</f>
        <v>0</v>
      </c>
      <c r="AN44" s="280">
        <f>Donations!E41</f>
        <v>0</v>
      </c>
      <c r="AO44" s="300" cm="1">
        <f t="array" ref="AO44">_xlfn.IFS(AN44&gt;125,11,AN44&gt;=116,10,AN44&gt;=101,9,AN44=100,8,AN44&gt;=86,7,AN44&gt;=71,6,AN44&gt;=61,5,AN44&gt;=51,4,AN44&gt;=41,3,AN44&gt;=26,2,AN44&gt;=1,1,TRUE,0)</f>
        <v>0</v>
      </c>
      <c r="AP44" s="190">
        <f>Donations!F41</f>
        <v>0</v>
      </c>
      <c r="AQ44" s="300" cm="1">
        <f t="array" ref="AQ44">_xlfn.IFS(AP44&gt;600,11,AP44&gt;=551,10,AP44&gt;=501,9,AP44=500,8,AP44&gt;=326,7,AP44&gt;=251,6,AP44&gt;=201,5,AP44&gt;=151,4,AP44&gt;=101,3,AP44&gt;=76,2,AP44&gt;=1,1,TRUE,0)</f>
        <v>0</v>
      </c>
      <c r="AR44" s="350"/>
      <c r="AS44" s="350"/>
      <c r="AT44" s="350"/>
      <c r="AU44" s="353"/>
      <c r="AV44" s="191">
        <v>1</v>
      </c>
      <c r="AW44" s="191">
        <v>3</v>
      </c>
      <c r="AX44" s="187">
        <v>2</v>
      </c>
      <c r="AY44" s="252">
        <f t="shared" si="56"/>
        <v>6</v>
      </c>
      <c r="AZ44" s="192"/>
      <c r="BA44" s="181"/>
      <c r="BB44" s="193">
        <v>1320</v>
      </c>
      <c r="BC44" s="252" cm="1">
        <f t="array" ref="BC44">_xlfn.IFS(BB44=0,11,TRUE,0)</f>
        <v>0</v>
      </c>
      <c r="BD44" s="183">
        <v>4</v>
      </c>
      <c r="BE44" s="183">
        <v>4</v>
      </c>
      <c r="BF44" s="183">
        <v>4</v>
      </c>
      <c r="BG44" s="252">
        <f t="shared" si="57"/>
        <v>12</v>
      </c>
      <c r="BH44" s="183">
        <v>0</v>
      </c>
      <c r="BI44" s="183">
        <v>3</v>
      </c>
      <c r="BJ44" s="183">
        <v>3</v>
      </c>
      <c r="BK44" s="252">
        <f t="shared" si="58"/>
        <v>6</v>
      </c>
    </row>
    <row r="45" spans="1:63" ht="15.75" x14ac:dyDescent="0.25">
      <c r="A45" s="180" t="s">
        <v>81</v>
      </c>
      <c r="B45" s="252">
        <f t="shared" si="45"/>
        <v>134</v>
      </c>
      <c r="C45" s="253">
        <f t="shared" si="59"/>
        <v>3</v>
      </c>
      <c r="D45" s="13">
        <f>'Lodge Rank by District'!E33</f>
        <v>40</v>
      </c>
      <c r="E45" s="9" t="str">
        <f>'Active &amp; Renewals'!C64</f>
        <v>1230</v>
      </c>
      <c r="F45" s="9" t="str">
        <f>'Active &amp; Renewals'!D64</f>
        <v>1281</v>
      </c>
      <c r="G45" s="2">
        <f t="shared" si="46"/>
        <v>51</v>
      </c>
      <c r="H45" s="252" cm="1">
        <f t="array" ref="H45">_xlfn.IFS(G45&gt;20,11,G45&gt;11,10,G45&gt;2,9,G45&gt;0,8,G45&gt;-6,7,G45&gt;-11,6,G45&gt;-16,5,G45&gt;-21,4,G45&gt;-26,3,G45&gt;-31,2,G45&gt;-36,1,TRUE,0)</f>
        <v>11</v>
      </c>
      <c r="I45" s="113" t="str">
        <f>'Active &amp; Renewals'!E64</f>
        <v>83.01</v>
      </c>
      <c r="J45" s="252" cm="1">
        <f t="array" ref="J45">_xlfn.IFS(VALUE(I45)&gt;=90.5,11,VALUE(I45)&gt;=85.5,10,VALUE(I45)&gt;=80.5,9,VALUE(I45)&gt;=75.5,8,VALUE(I45)&gt;=74.5,7,VALUE(I45)&gt;=70.5,6,VALUE(I45)&gt;=64.5,5,VALUE(I45)&gt;=60.5,4,VALUE(I45)&gt;=54.5,3,VALUE(I45)&gt;=50.5,2,VALUE(I45)&gt;=44.5,1,TRUE,0)</f>
        <v>9</v>
      </c>
      <c r="K45" s="195">
        <v>2780</v>
      </c>
      <c r="L45" s="195">
        <f>Donations!B29</f>
        <v>2944</v>
      </c>
      <c r="M45" s="267">
        <f t="shared" si="47"/>
        <v>164</v>
      </c>
      <c r="N45" s="268">
        <f t="shared" si="48"/>
        <v>1.0589928057553957</v>
      </c>
      <c r="O45" s="252" cm="1">
        <f t="array" ref="O45">_xlfn.IFS(N45&gt;=115.5%,11,N45&gt;=110.5%,10,N45&gt;=100.5%,9,N45&gt;=99.5%,8,N45&gt;=89.5%,7,N45&gt;=75.5%,6,N45&gt;=60.5%,5,N45&gt;=45.5%,4,N45&gt;=30.5%,3,N45&gt;=15.5%,2,N45&gt;=0.5%,1,TRUE,0)</f>
        <v>9</v>
      </c>
      <c r="P45" s="12">
        <f t="shared" si="49"/>
        <v>2.3934959349593496</v>
      </c>
      <c r="Q45" s="252" cm="1">
        <f t="array" ref="Q45">_xlfn.IFS(P45&gt;10,11,P45&gt;=8.01,10,P45&gt;=6.01,9,P45&gt;=4.01,8,P45=4,7,P45&gt;=3.01,6,P45&gt;=2.01,5,P45&gt;=1.51,4,P45&gt;=1.01,3,P45&gt;=0.51,2,P45&gt;=0.01,1,TRUE,0)</f>
        <v>5</v>
      </c>
      <c r="R45" s="269">
        <v>3690</v>
      </c>
      <c r="S45" s="193">
        <f>Donations!C29</f>
        <v>3690</v>
      </c>
      <c r="T45" s="279">
        <f t="shared" si="50"/>
        <v>3</v>
      </c>
      <c r="U45" s="10">
        <f t="shared" si="51"/>
        <v>0</v>
      </c>
      <c r="V45" s="252" cm="1">
        <f t="array" ref="V45">_xlfn.IFS(T45&gt;=120%,11,T45&gt;=110.5%,10,T45&gt;=100.5%,9,T45&gt;99.9%,8,T45&gt;=85.5%,7,T45&gt;=72.5%,6,T45&gt;=65.5%,5,T45&gt;=55.5%,4,T45&gt;=45.5%,3,T45&gt;=35.5%,2,T45&gt;=20.5%,1,TRUE,0)</f>
        <v>11</v>
      </c>
      <c r="W45" s="269">
        <f t="shared" si="52"/>
        <v>184.5</v>
      </c>
      <c r="X45" s="193">
        <f>Donations!D29</f>
        <v>150</v>
      </c>
      <c r="Y45" s="269">
        <f t="shared" si="53"/>
        <v>0.12195121951219512</v>
      </c>
      <c r="Z45" s="252" cm="1">
        <f t="array" ref="Z45">_xlfn.IFS(Y45&gt;=0.26,11,Y45&gt;=0.21,10,Y45&gt;=0.16,9,Y45=0.15,8,Y45=0.14,7,Y45=0.13,6,Y45&gt;=0.11,5,Y45&gt;=0.09,4,Y45&gt;=0.07,3,Y45&gt;=0.04,2,Y45&gt;=0.01,1,TRUE,0)</f>
        <v>5</v>
      </c>
      <c r="AA45" s="8" t="str">
        <f>'Active &amp; Renewals'!F64</f>
        <v>EXCELLENT</v>
      </c>
      <c r="AB45" s="281" cm="1">
        <f t="array" ref="AB45">_xlfn.IFS(AA45="SUPERIOR",11,AA45="EXCELLENT",9,AA45="GOOD",7,AA45="LATE",5,AA45="NO GRADE",3,AA45="NA",2,AA45="NO REPORT",0)</f>
        <v>9</v>
      </c>
      <c r="AC45" s="8" t="str">
        <f>'Active &amp; Renewals'!H64</f>
        <v>EXCELLENT</v>
      </c>
      <c r="AD45" s="281" cm="1">
        <f t="array" ref="AD45">_xlfn.IFS(AC45="SUPERIOR",11,AC45="EXCELLENT",9,AC45="GOOD",7,AC45="LATE",5,AC45="NO GRADE",3,AC45="NA",2,AC45="NO REPORT",0)</f>
        <v>9</v>
      </c>
      <c r="AE45" s="284" t="str">
        <f>'Active &amp; Renewals'!J64</f>
        <v>NO REPORT</v>
      </c>
      <c r="AF45" s="281" cm="1">
        <f t="array" ref="AF45">_xlfn.IFS(AE45="SUPERIOR",11,AE45="EXCELLENT",9,AE45="GOOD",7,AE45="LATE",5,AE45="NO GRADE",3,AE45="NA",2,AE45="NO REPORT",0)</f>
        <v>0</v>
      </c>
      <c r="AG45" s="282" t="str">
        <f>'Active &amp; Renewals'!L64</f>
        <v>NO REPORT</v>
      </c>
      <c r="AH45" s="281" cm="1">
        <f t="array" ref="AH45">_xlfn.IFS(AG45="SUPERIOR",11,AG45="EXCELLENT",9,AG45="GOOD",7,AG45="LATE",5,AG45="NO GRADE",3,AG45="NA",2,AG45="NO REPORT",0)</f>
        <v>0</v>
      </c>
      <c r="AI45" s="252">
        <f t="shared" si="54"/>
        <v>18</v>
      </c>
      <c r="AJ45" s="188" t="s">
        <v>660</v>
      </c>
      <c r="AK45" s="252" cm="1">
        <f t="array" ref="AK45">_xlfn.IFS(AJ45="8/8",11,AJ45="7/8",7,AJ45="6/8",6,AJ45="5/8",5,AJ45="4/8",4,AJ45="3/8",3,AJ45="2/8",2,AJ45="1/8",1,AJ45="0/8",0,TRUE,0)</f>
        <v>5</v>
      </c>
      <c r="AL45" s="189">
        <v>5</v>
      </c>
      <c r="AM45" s="300" cm="1">
        <f t="array" ref="AM45">_xlfn.IFS(AL45&gt;6,11,AL45&gt;=4,10,AL45&gt;=2,9,AL45=1,8,TRUE,0)</f>
        <v>10</v>
      </c>
      <c r="AN45" s="283">
        <f>Donations!E29</f>
        <v>150</v>
      </c>
      <c r="AO45" s="300" cm="1">
        <f t="array" ref="AO45">_xlfn.IFS(AN45&gt;125,11,AN45&gt;=116,10,AN45&gt;=101,9,AN45=100,8,AN45&gt;=86,7,AN45&gt;=71,6,AN45&gt;=61,5,AN45&gt;=51,4,AN45&gt;=41,3,AN45&gt;=26,2,AN45&gt;=1,1,TRUE,0)</f>
        <v>11</v>
      </c>
      <c r="AP45" s="190">
        <f>Donations!F29</f>
        <v>75</v>
      </c>
      <c r="AQ45" s="300" cm="1">
        <f t="array" ref="AQ45">_xlfn.IFS(AP45&gt;600,11,AP45&gt;=551,10,AP45&gt;=501,9,AP45=500,8,AP45&gt;=326,7,AP45&gt;=251,6,AP45&gt;=201,5,AP45&gt;=151,4,AP45&gt;=101,3,AP45&gt;=76,2,AP45&gt;=1,1,TRUE,0)</f>
        <v>1</v>
      </c>
      <c r="AR45" s="350"/>
      <c r="AS45" s="350"/>
      <c r="AT45" s="350"/>
      <c r="AU45" s="353"/>
      <c r="AV45" s="191">
        <v>2</v>
      </c>
      <c r="AW45" s="191">
        <v>4</v>
      </c>
      <c r="AX45" s="187">
        <v>4</v>
      </c>
      <c r="AY45" s="252">
        <f t="shared" si="56"/>
        <v>10</v>
      </c>
      <c r="AZ45" s="192"/>
      <c r="BA45" s="181"/>
      <c r="BB45" s="193">
        <v>0</v>
      </c>
      <c r="BC45" s="252" cm="1">
        <f t="array" ref="BC45">_xlfn.IFS(BB45=0,11,TRUE,0)</f>
        <v>11</v>
      </c>
      <c r="BD45" s="183">
        <v>4</v>
      </c>
      <c r="BE45" s="183">
        <v>4</v>
      </c>
      <c r="BF45" s="183">
        <v>4</v>
      </c>
      <c r="BG45" s="252">
        <f t="shared" si="57"/>
        <v>12</v>
      </c>
      <c r="BH45" s="183">
        <v>0</v>
      </c>
      <c r="BI45" s="183">
        <v>3</v>
      </c>
      <c r="BJ45" s="183">
        <v>3</v>
      </c>
      <c r="BK45" s="252">
        <f t="shared" si="58"/>
        <v>6</v>
      </c>
    </row>
    <row r="46" spans="1:63" ht="15.75" x14ac:dyDescent="0.25">
      <c r="A46" s="180" t="s">
        <v>80</v>
      </c>
      <c r="B46" s="252">
        <f t="shared" si="45"/>
        <v>115</v>
      </c>
      <c r="C46" s="253">
        <f t="shared" si="59"/>
        <v>5</v>
      </c>
      <c r="D46" s="13">
        <f>'Lodge Rank by District'!E34</f>
        <v>70</v>
      </c>
      <c r="E46" s="9" t="str">
        <f>'Active &amp; Renewals'!C99</f>
        <v>272</v>
      </c>
      <c r="F46" s="9" t="str">
        <f>'Active &amp; Renewals'!D99</f>
        <v>287</v>
      </c>
      <c r="G46" s="2">
        <f>+F46-E46</f>
        <v>15</v>
      </c>
      <c r="H46" s="252" cm="1">
        <f t="array" ref="H46">_xlfn.IFS(G46&gt;20,11,G46&gt;11,10,G46&gt;2,9,G46&gt;0,8,G46&gt;-6,7,G46&gt;-11,6,G46&gt;-16,5,G46&gt;-21,4,G46&gt;-26,3,G46&gt;-31,2,G46&gt;-36,1,TRUE,0)</f>
        <v>10</v>
      </c>
      <c r="I46" s="113" t="str">
        <f>'Active &amp; Renewals'!E99</f>
        <v>87.13</v>
      </c>
      <c r="J46" s="252" cm="1">
        <f t="array" ref="J46">_xlfn.IFS(VALUE(I46)&gt;=90.5,11,VALUE(I46)&gt;=85.5,10,VALUE(I46)&gt;=80.5,9,VALUE(I46)&gt;=75.5,8,VALUE(I46)&gt;=74.5,7,VALUE(I46)&gt;=70.5,6,VALUE(I46)&gt;=64.5,5,VALUE(I46)&gt;=60.5,4,VALUE(I46)&gt;=54.5,3,VALUE(I46)&gt;=50.5,2,VALUE(I46)&gt;=44.5,1,TRUE,0)</f>
        <v>10</v>
      </c>
      <c r="K46" s="195">
        <v>1138</v>
      </c>
      <c r="L46" s="195">
        <f>Donations!B90</f>
        <v>1305</v>
      </c>
      <c r="M46" s="267">
        <f t="shared" si="47"/>
        <v>167</v>
      </c>
      <c r="N46" s="268">
        <f t="shared" si="48"/>
        <v>1.1467486818980668</v>
      </c>
      <c r="O46" s="252" cm="1">
        <f t="array" ref="O46">_xlfn.IFS(N46&gt;=115.5%,11,N46&gt;=110.5%,10,N46&gt;=100.5%,9,N46&gt;=99.5%,8,N46&gt;=89.5%,7,N46&gt;=75.5%,6,N46&gt;=60.5%,5,N46&gt;=45.5%,4,N46&gt;=30.5%,3,N46&gt;=15.5%,2,N46&gt;=0.5%,1,TRUE,0)</f>
        <v>10</v>
      </c>
      <c r="P46" s="12">
        <f t="shared" si="49"/>
        <v>4.7977941176470589</v>
      </c>
      <c r="Q46" s="252" cm="1">
        <f t="array" ref="Q46">_xlfn.IFS(P46&gt;10,11,P46&gt;=8.01,10,P46&gt;=6.01,9,P46&gt;=4.01,8,P46=4,7,P46&gt;=3.01,6,P46&gt;=2.01,5,P46&gt;=1.51,4,P46&gt;=1.01,3,P46&gt;=0.51,2,P46&gt;=0.01,1,TRUE,0)</f>
        <v>8</v>
      </c>
      <c r="R46" s="269">
        <v>816</v>
      </c>
      <c r="S46" s="193">
        <f>Donations!C90</f>
        <v>544</v>
      </c>
      <c r="T46" s="279">
        <f t="shared" si="50"/>
        <v>2</v>
      </c>
      <c r="U46" s="10">
        <f t="shared" si="51"/>
        <v>-272</v>
      </c>
      <c r="V46" s="252" cm="1">
        <f t="array" ref="V46">_xlfn.IFS(T46&gt;=120%,11,T46&gt;=110.5%,10,T46&gt;=100.5%,9,T46&gt;99.9%,8,T46&gt;=85.5%,7,T46&gt;=72.5%,6,T46&gt;=65.5%,5,T46&gt;=55.5%,4,T46&gt;=45.5%,3,T46&gt;=35.5%,2,T46&gt;=20.5%,1,TRUE,0)</f>
        <v>11</v>
      </c>
      <c r="W46" s="269">
        <f t="shared" si="52"/>
        <v>40.799999999999997</v>
      </c>
      <c r="X46" s="193">
        <f>Donations!D90</f>
        <v>400</v>
      </c>
      <c r="Y46" s="269">
        <f t="shared" si="53"/>
        <v>1.4705882352941178</v>
      </c>
      <c r="Z46" s="252" cm="1">
        <f t="array" ref="Z46">_xlfn.IFS(Y46&gt;=0.26,11,Y46&gt;=0.21,10,Y46&gt;=0.16,9,Y46=0.15,8,Y46=0.14,7,Y46=0.13,6,Y46&gt;=0.11,5,Y46&gt;=0.09,4,Y46&gt;=0.07,3,Y46&gt;=0.04,2,Y46&gt;=0.01,1,TRUE,0)</f>
        <v>11</v>
      </c>
      <c r="AA46" s="8" t="str">
        <f>'Active &amp; Renewals'!F99</f>
        <v>EXCELLENT</v>
      </c>
      <c r="AB46" s="281" cm="1">
        <f t="array" ref="AB46">_xlfn.IFS(AA46="SUPERIOR",11,AA46="EXCELLENT",9,AA46="GOOD",7,AA46="LATE",5,AA46="NO GRADE",3,AA46="NA",2,AA46="NO REPORT",0)</f>
        <v>9</v>
      </c>
      <c r="AC46" s="8" t="str">
        <f>'Active &amp; Renewals'!H99</f>
        <v>SUPERIOR</v>
      </c>
      <c r="AD46" s="281" cm="1">
        <f t="array" ref="AD46">_xlfn.IFS(AC46="SUPERIOR",11,AC46="EXCELLENT",9,AC46="GOOD",7,AC46="LATE",5,AC46="NO GRADE",3,AC46="NA",2,AC46="NO REPORT",0)</f>
        <v>11</v>
      </c>
      <c r="AE46" s="284" t="str">
        <f>'Active &amp; Renewals'!J99</f>
        <v>NO REPORT</v>
      </c>
      <c r="AF46" s="281" cm="1">
        <f t="array" ref="AF46">_xlfn.IFS(AE46="SUPERIOR",11,AE46="EXCELLENT",9,AE46="GOOD",7,AE46="LATE",5,AE46="NO GRADE",3,AE46="NA",2,AE46="NO REPORT",0)</f>
        <v>0</v>
      </c>
      <c r="AG46" s="282" t="str">
        <f>'Active &amp; Renewals'!L99</f>
        <v>NO REPORT</v>
      </c>
      <c r="AH46" s="281" cm="1">
        <f t="array" ref="AH46">_xlfn.IFS(AG46="SUPERIOR",11,AG46="EXCELLENT",9,AG46="GOOD",7,AG46="LATE",5,AG46="NO GRADE",3,AG46="NA",2,AG46="NO REPORT",0)</f>
        <v>0</v>
      </c>
      <c r="AI46" s="252">
        <f t="shared" si="54"/>
        <v>20</v>
      </c>
      <c r="AJ46" s="188" t="s">
        <v>653</v>
      </c>
      <c r="AK46" s="252" cm="1">
        <f t="array" ref="AK46">_xlfn.IFS(AJ46="8/8",11,AJ46="7/8",7,AJ46="6/8",6,AJ46="5/8",5,AJ46="4/8",4,AJ46="3/8",3,AJ46="2/8",2,AJ46="1/8",1,AJ46="0/8",0,TRUE,0)</f>
        <v>6</v>
      </c>
      <c r="AL46" s="189">
        <v>0</v>
      </c>
      <c r="AM46" s="300" cm="1">
        <f t="array" ref="AM46">_xlfn.IFS(AL46&gt;6,11,AL46&gt;=4,10,AL46&gt;=2,9,AL46=1,8,TRUE,0)</f>
        <v>0</v>
      </c>
      <c r="AN46" s="283">
        <f>Donations!E90</f>
        <v>100</v>
      </c>
      <c r="AO46" s="300" cm="1">
        <f t="array" ref="AO46">_xlfn.IFS(AN46&gt;125,11,AN46&gt;=116,10,AN46&gt;=101,9,AN46=100,8,AN46&gt;=86,7,AN46&gt;=71,6,AN46&gt;=61,5,AN46&gt;=51,4,AN46&gt;=41,3,AN46&gt;=26,2,AN46&gt;=1,1,TRUE,0)</f>
        <v>8</v>
      </c>
      <c r="AP46" s="190">
        <f>Donations!F90</f>
        <v>75</v>
      </c>
      <c r="AQ46" s="300" cm="1">
        <f t="array" ref="AQ46">_xlfn.IFS(AP46&gt;600,11,AP46&gt;=551,10,AP46&gt;=501,9,AP46=500,8,AP46&gt;=326,7,AP46&gt;=251,6,AP46&gt;=201,5,AP46&gt;=151,4,AP46&gt;=101,3,AP46&gt;=76,2,AP46&gt;=1,1,TRUE,0)</f>
        <v>1</v>
      </c>
      <c r="AR46" s="351"/>
      <c r="AS46" s="351"/>
      <c r="AT46" s="351"/>
      <c r="AU46" s="354"/>
      <c r="AV46" s="191">
        <v>2</v>
      </c>
      <c r="AW46" s="191">
        <v>4</v>
      </c>
      <c r="AX46" s="187">
        <v>1</v>
      </c>
      <c r="AY46" s="252">
        <f t="shared" si="56"/>
        <v>7</v>
      </c>
      <c r="AZ46" s="192"/>
      <c r="BA46" s="181"/>
      <c r="BB46" s="193">
        <v>0</v>
      </c>
      <c r="BC46" s="252" cm="1">
        <f t="array" ref="BC46">_xlfn.IFS(BB46=0,11,TRUE,0)</f>
        <v>11</v>
      </c>
      <c r="BD46" s="183">
        <v>0</v>
      </c>
      <c r="BE46" s="183">
        <v>0</v>
      </c>
      <c r="BF46" s="183">
        <v>0</v>
      </c>
      <c r="BG46" s="252">
        <f t="shared" si="57"/>
        <v>0</v>
      </c>
      <c r="BH46" s="183">
        <v>0</v>
      </c>
      <c r="BI46" s="183">
        <v>2</v>
      </c>
      <c r="BJ46" s="183">
        <v>0</v>
      </c>
      <c r="BK46" s="252">
        <f t="shared" si="58"/>
        <v>2</v>
      </c>
    </row>
    <row r="47" spans="1:63" ht="18.75" x14ac:dyDescent="0.25">
      <c r="A47" s="196" t="s">
        <v>1</v>
      </c>
      <c r="B47" s="254">
        <f>SUM(B40:B46)/7</f>
        <v>121.14285714285714</v>
      </c>
      <c r="C47" s="2"/>
      <c r="D47" s="256">
        <f>'District '!E22</f>
        <v>7</v>
      </c>
      <c r="E47" s="5"/>
      <c r="F47" s="5"/>
      <c r="G47" s="1"/>
      <c r="H47" s="1"/>
      <c r="I47" s="307"/>
      <c r="J47" s="1"/>
      <c r="K47" s="210"/>
      <c r="L47" s="226">
        <f>SUM(L40:L46)</f>
        <v>25146.59</v>
      </c>
      <c r="M47" s="4"/>
      <c r="N47" s="97"/>
      <c r="O47" s="1"/>
      <c r="P47" s="3"/>
      <c r="Q47" s="1"/>
      <c r="R47" s="267" t="s">
        <v>0</v>
      </c>
      <c r="S47" s="202"/>
      <c r="T47" s="97"/>
      <c r="U47" s="1"/>
      <c r="V47" s="1"/>
      <c r="W47" s="1"/>
      <c r="X47" s="285"/>
      <c r="Y47" s="269"/>
      <c r="Z47" s="1"/>
      <c r="AA47" s="2"/>
      <c r="AB47" s="2"/>
      <c r="AC47" s="2"/>
      <c r="AD47" s="2"/>
      <c r="AE47" s="7"/>
      <c r="AF47" s="18"/>
      <c r="AG47" s="7"/>
      <c r="AH47" s="2"/>
      <c r="AI47" s="1"/>
      <c r="AJ47" s="204"/>
      <c r="AK47" s="1"/>
      <c r="AL47" s="197"/>
      <c r="AM47" s="1"/>
      <c r="AN47" s="205"/>
      <c r="AO47" s="1"/>
      <c r="AP47" s="206"/>
      <c r="AQ47" s="1"/>
      <c r="AR47" s="207"/>
      <c r="AS47" s="207"/>
      <c r="AT47" s="207"/>
      <c r="AU47" s="275"/>
      <c r="AV47" s="212"/>
      <c r="AW47" s="212"/>
      <c r="AX47" s="209"/>
      <c r="AY47" s="1"/>
      <c r="AZ47" s="204"/>
      <c r="BA47" s="197"/>
      <c r="BB47" s="210"/>
      <c r="BC47" s="1"/>
      <c r="BD47" s="197"/>
      <c r="BE47" s="197"/>
      <c r="BF47" s="183"/>
      <c r="BG47" s="1"/>
      <c r="BH47" s="197"/>
      <c r="BI47" s="197"/>
      <c r="BJ47" s="211"/>
      <c r="BK47" s="1"/>
    </row>
    <row r="48" spans="1:63" ht="18.75" x14ac:dyDescent="0.25">
      <c r="A48" s="196"/>
      <c r="B48" s="116"/>
      <c r="C48" s="2"/>
      <c r="D48" s="2"/>
      <c r="E48" s="5"/>
      <c r="F48" s="5"/>
      <c r="G48" s="1"/>
      <c r="H48" s="1"/>
      <c r="I48" s="307"/>
      <c r="J48" s="1"/>
      <c r="K48" s="210"/>
      <c r="L48" s="226"/>
      <c r="M48" s="4"/>
      <c r="N48" s="97"/>
      <c r="O48" s="1"/>
      <c r="P48" s="3"/>
      <c r="Q48" s="1"/>
      <c r="R48" s="267"/>
      <c r="S48" s="202"/>
      <c r="T48" s="97"/>
      <c r="U48" s="1"/>
      <c r="V48" s="1"/>
      <c r="W48" s="1"/>
      <c r="X48" s="285"/>
      <c r="Y48" s="269"/>
      <c r="Z48" s="1"/>
      <c r="AA48" s="2"/>
      <c r="AB48" s="2"/>
      <c r="AC48" s="2"/>
      <c r="AD48" s="2"/>
      <c r="AE48" s="7"/>
      <c r="AF48" s="18"/>
      <c r="AG48" s="7"/>
      <c r="AH48" s="2"/>
      <c r="AI48" s="1"/>
      <c r="AJ48" s="204"/>
      <c r="AK48" s="1"/>
      <c r="AL48" s="197"/>
      <c r="AM48" s="1"/>
      <c r="AN48" s="205"/>
      <c r="AO48" s="1"/>
      <c r="AP48" s="206"/>
      <c r="AQ48" s="1"/>
      <c r="AR48" s="207"/>
      <c r="AS48" s="207"/>
      <c r="AT48" s="207"/>
      <c r="AU48" s="275"/>
      <c r="AV48" s="212"/>
      <c r="AW48" s="212"/>
      <c r="AX48" s="209"/>
      <c r="AY48" s="1"/>
      <c r="AZ48" s="204"/>
      <c r="BA48" s="197"/>
      <c r="BB48" s="210"/>
      <c r="BC48" s="1"/>
      <c r="BD48" s="197"/>
      <c r="BE48" s="197"/>
      <c r="BF48" s="183"/>
      <c r="BG48" s="1"/>
      <c r="BH48" s="197"/>
      <c r="BI48" s="197"/>
      <c r="BJ48" s="211"/>
      <c r="BK48" s="1"/>
    </row>
    <row r="49" spans="1:63" ht="18.75" x14ac:dyDescent="0.25">
      <c r="A49" s="196" t="s">
        <v>79</v>
      </c>
      <c r="B49" s="2"/>
      <c r="C49" s="2"/>
      <c r="D49" s="2"/>
      <c r="E49" s="5"/>
      <c r="F49" s="5"/>
      <c r="G49" s="1"/>
      <c r="H49" s="1"/>
      <c r="I49" s="307"/>
      <c r="J49" s="1"/>
      <c r="K49" s="210"/>
      <c r="L49" s="210"/>
      <c r="M49" s="4"/>
      <c r="N49" s="97"/>
      <c r="O49" s="1"/>
      <c r="P49" s="3"/>
      <c r="Q49" s="1"/>
      <c r="R49" s="267" t="s">
        <v>0</v>
      </c>
      <c r="S49" s="202"/>
      <c r="T49" s="97"/>
      <c r="U49" s="1"/>
      <c r="V49" s="1"/>
      <c r="W49" s="1"/>
      <c r="X49" s="285"/>
      <c r="Y49" s="269"/>
      <c r="Z49" s="1"/>
      <c r="AA49" s="2"/>
      <c r="AB49" s="2"/>
      <c r="AC49" s="2"/>
      <c r="AD49" s="2"/>
      <c r="AE49" s="7"/>
      <c r="AF49" s="18"/>
      <c r="AG49" s="7"/>
      <c r="AH49" s="2"/>
      <c r="AI49" s="1"/>
      <c r="AJ49" s="204"/>
      <c r="AK49" s="1"/>
      <c r="AL49" s="197"/>
      <c r="AM49" s="1"/>
      <c r="AN49" s="205"/>
      <c r="AO49" s="1"/>
      <c r="AP49" s="206"/>
      <c r="AQ49" s="1"/>
      <c r="AR49" s="207"/>
      <c r="AS49" s="207"/>
      <c r="AT49" s="207"/>
      <c r="AU49" s="275"/>
      <c r="AV49" s="212"/>
      <c r="AW49" s="212"/>
      <c r="AX49" s="209"/>
      <c r="AY49" s="1"/>
      <c r="AZ49" s="204"/>
      <c r="BA49" s="197"/>
      <c r="BB49" s="210"/>
      <c r="BC49" s="1"/>
      <c r="BD49" s="197"/>
      <c r="BE49" s="197"/>
      <c r="BF49" s="197"/>
      <c r="BG49" s="1"/>
      <c r="BH49" s="197"/>
      <c r="BI49" s="197"/>
      <c r="BJ49" s="211"/>
      <c r="BK49" s="1"/>
    </row>
    <row r="50" spans="1:63" ht="15.75" x14ac:dyDescent="0.25">
      <c r="A50" s="180" t="s">
        <v>78</v>
      </c>
      <c r="B50" s="252">
        <f t="shared" ref="B50:B58" si="60">+H50+J50+O50+Q50+V50+Z50+AI50+AK50+AM50+AO50+AQ50+AY50+BA50+BC50+BG50+BK50</f>
        <v>97</v>
      </c>
      <c r="C50" s="253">
        <f>RANK(B50,$B$50:$B$58)</f>
        <v>9</v>
      </c>
      <c r="D50" s="13">
        <f>'Lodge Rank by District'!E35</f>
        <v>88</v>
      </c>
      <c r="E50" s="9" t="str">
        <f>'Active &amp; Renewals'!C23</f>
        <v>709</v>
      </c>
      <c r="F50" s="9" t="str">
        <f>'Active &amp; Renewals'!D23</f>
        <v>704</v>
      </c>
      <c r="G50" s="2">
        <f t="shared" ref="G50:G58" si="61">+F50-E50</f>
        <v>-5</v>
      </c>
      <c r="H50" s="252" cm="1">
        <f t="array" ref="H50">_xlfn.IFS(G50&gt;20,11,G50&gt;11,10,G50&gt;2,9,G50&gt;0,8,G50&gt;-6,7,G50&gt;-11,6,G50&gt;-16,5,G50&gt;-21,4,G50&gt;-26,3,G50&gt;-31,2,G50&gt;-36,1,TRUE,0)</f>
        <v>7</v>
      </c>
      <c r="I50" s="113" t="str">
        <f>'Active &amp; Renewals'!E23</f>
        <v>80.89</v>
      </c>
      <c r="J50" s="252" cm="1">
        <f t="array" ref="J50">_xlfn.IFS(VALUE(I50)&gt;=90.5,11,VALUE(I50)&gt;=85.5,10,VALUE(I50)&gt;=80.5,9,VALUE(I50)&gt;=75.5,8,VALUE(I50)&gt;=74.5,7,VALUE(I50)&gt;=70.5,6,VALUE(I50)&gt;=64.5,5,VALUE(I50)&gt;=60.5,4,VALUE(I50)&gt;=54.5,3,VALUE(I50)&gt;=50.5,2,VALUE(I50)&gt;=44.5,1,TRUE,0)</f>
        <v>9</v>
      </c>
      <c r="K50" s="195">
        <v>3367</v>
      </c>
      <c r="L50" s="195">
        <f>Donations!B54</f>
        <v>2675</v>
      </c>
      <c r="M50" s="267">
        <f t="shared" ref="M50:M58" si="62">+L50-K50</f>
        <v>-692</v>
      </c>
      <c r="N50" s="268">
        <f t="shared" ref="N50:N58" si="63">+L50/K50</f>
        <v>0.79447579447579453</v>
      </c>
      <c r="O50" s="252" cm="1">
        <f t="array" ref="O50">_xlfn.IFS(N50&gt;=115.5%,11,N50&gt;=110.5%,10,N50&gt;=100.5%,9,N50&gt;=99.5%,8,N50&gt;=89.5%,7,N50&gt;=75.5%,6,N50&gt;=60.5%,5,N50&gt;=45.5%,4,N50&gt;=30.5%,3,N50&gt;=15.5%,2,N50&gt;=0.5%,1,TRUE,0)</f>
        <v>6</v>
      </c>
      <c r="P50" s="12">
        <f t="shared" ref="P50:P58" si="64">+L50/E50</f>
        <v>3.7729196050775742</v>
      </c>
      <c r="Q50" s="252" cm="1">
        <f t="array" ref="Q50">_xlfn.IFS(P50&gt;10,11,P50&gt;=8.01,10,P50&gt;=6.01,9,P50&gt;=4.01,8,P50=4,7,P50&gt;=3.01,6,P50&gt;=2.01,5,P50&gt;=1.51,4,P50&gt;=1.01,3,P50&gt;=0.51,2,P50&gt;=0.01,1,TRUE,0)</f>
        <v>6</v>
      </c>
      <c r="R50" s="269">
        <v>2127</v>
      </c>
      <c r="S50" s="184">
        <f>Donations!C54</f>
        <v>700</v>
      </c>
      <c r="T50" s="279">
        <f t="shared" ref="T50:T58" si="65">+S50/(R50/3)</f>
        <v>0.98730606488011285</v>
      </c>
      <c r="U50" s="10">
        <f t="shared" ref="U50:U58" si="66">+S50-R50</f>
        <v>-1427</v>
      </c>
      <c r="V50" s="252" cm="1">
        <f t="array" ref="V50">_xlfn.IFS(T50&gt;=120%,11,T50&gt;=110.5%,10,T50&gt;=100.5%,9,T50&gt;99.9%,8,T50&gt;=85.5%,7,T50&gt;=72.5%,6,T50&gt;=65.5%,5,T50&gt;=55.5%,4,T50&gt;=45.5%,3,T50&gt;=35.5%,2,T50&gt;=20.5%,1,TRUE,0)</f>
        <v>7</v>
      </c>
      <c r="W50" s="269">
        <f t="shared" ref="W50:W58" si="67">E50*0.15</f>
        <v>106.35</v>
      </c>
      <c r="X50" s="184">
        <f>Donations!D54</f>
        <v>0</v>
      </c>
      <c r="Y50" s="269">
        <f t="shared" ref="Y50:Y58" si="68">+X50/E50</f>
        <v>0</v>
      </c>
      <c r="Z50" s="252" cm="1">
        <f t="array" ref="Z50">_xlfn.IFS(Y50&gt;=0.26,11,Y50&gt;=0.21,10,Y50&gt;=0.16,9,Y50=0.15,8,Y50=0.14,7,Y50=0.13,6,Y50&gt;=0.11,5,Y50&gt;=0.09,4,Y50&gt;=0.07,3,Y50&gt;=0.04,2,Y50&gt;=0.01,1,TRUE,0)</f>
        <v>0</v>
      </c>
      <c r="AA50" s="8" t="str">
        <f>'Active &amp; Renewals'!F23</f>
        <v>GOOD</v>
      </c>
      <c r="AB50" s="281" cm="1">
        <f t="array" ref="AB50">_xlfn.IFS(AA50="SUPERIOR",11,AA50="EXCELLENT",9,AA50="GOOD",7,AA50="LATE",5,AA50="NO GRADE",3,AA50="NA",2,AA50="NO REPORT",0)</f>
        <v>7</v>
      </c>
      <c r="AC50" s="8" t="str">
        <f>'Active &amp; Renewals'!H23</f>
        <v>GOOD</v>
      </c>
      <c r="AD50" s="281" cm="1">
        <f t="array" ref="AD50">_xlfn.IFS(AC50="SUPERIOR",11,AC50="EXCELLENT",9,AC50="GOOD",7,AC50="LATE",5,AC50="NO GRADE",3,AC50="NA",2,AC50="NO REPORT",0)</f>
        <v>7</v>
      </c>
      <c r="AE50" s="284" t="str">
        <f>'Active &amp; Renewals'!J23</f>
        <v>NO REPORT</v>
      </c>
      <c r="AF50" s="281" cm="1">
        <f t="array" ref="AF50">_xlfn.IFS(AE50="SUPERIOR",11,AE50="EXCELLENT",9,AE50="GOOD",7,AE50="LATE",5,AE50="NO GRADE",3,AE50="NA",2,AE50="NO REPORT",0)</f>
        <v>0</v>
      </c>
      <c r="AG50" s="282" t="str">
        <f>'Active &amp; Renewals'!L23</f>
        <v>NO REPORT</v>
      </c>
      <c r="AH50" s="281" cm="1">
        <f t="array" ref="AH50">_xlfn.IFS(AG50="SUPERIOR",11,AG50="EXCELLENT",9,AG50="GOOD",7,AG50="LATE",5,AG50="NO GRADE",3,AG50="NA",2,AG50="NO REPORT",0)</f>
        <v>0</v>
      </c>
      <c r="AI50" s="252">
        <f t="shared" ref="AI50:AI58" si="69">SUM(AB50+AD50+AF50+AH50)</f>
        <v>14</v>
      </c>
      <c r="AJ50" s="188" t="s">
        <v>660</v>
      </c>
      <c r="AK50" s="252" cm="1">
        <f t="array" ref="AK50">_xlfn.IFS(AJ50="8/8",11,AJ50="7/8",7,AJ50="6/8",6,AJ50="5/8",5,AJ50="4/8",4,AJ50="3/8",3,AJ50="2/8",2,AJ50="1/8",1,AJ50="0/8",0,TRUE,0)</f>
        <v>5</v>
      </c>
      <c r="AL50" s="189">
        <v>2</v>
      </c>
      <c r="AM50" s="300" cm="1">
        <f t="array" ref="AM50">_xlfn.IFS(AL50&gt;6,11,AL50&gt;=4,10,AL50&gt;=2,9,AL50=1,8,TRUE,0)</f>
        <v>9</v>
      </c>
      <c r="AN50" s="184">
        <f>Donations!E54</f>
        <v>100</v>
      </c>
      <c r="AO50" s="300" cm="1">
        <f t="array" ref="AO50">_xlfn.IFS(AN50&gt;125,11,AN50&gt;=116,10,AN50&gt;=101,9,AN50=100,8,AN50&gt;=86,7,AN50&gt;=71,6,AN50&gt;=61,5,AN50&gt;=51,4,AN50&gt;=41,3,AN50&gt;=26,2,AN50&gt;=1,1,TRUE,0)</f>
        <v>8</v>
      </c>
      <c r="AP50" s="190">
        <f>Donations!F54</f>
        <v>50</v>
      </c>
      <c r="AQ50" s="300" cm="1">
        <f t="array" ref="AQ50">_xlfn.IFS(AP50&gt;600,11,AP50&gt;=551,10,AP50&gt;=501,9,AP50=500,8,AP50&gt;=326,7,AP50&gt;=251,6,AP50&gt;=201,5,AP50&gt;=151,4,AP50&gt;=101,3,AP50&gt;=76,2,AP50&gt;=1,1,TRUE,0)</f>
        <v>1</v>
      </c>
      <c r="AR50" s="349">
        <v>6</v>
      </c>
      <c r="AS50" s="349">
        <v>6</v>
      </c>
      <c r="AT50" s="349">
        <v>12</v>
      </c>
      <c r="AU50" s="352">
        <f>+AR50+AS50+AT50</f>
        <v>24</v>
      </c>
      <c r="AV50" s="191">
        <v>1</v>
      </c>
      <c r="AW50" s="187">
        <v>3</v>
      </c>
      <c r="AX50" s="187">
        <v>4</v>
      </c>
      <c r="AY50" s="252">
        <f t="shared" ref="AY50:AY58" si="70">+AV50+AW50+AX50</f>
        <v>8</v>
      </c>
      <c r="AZ50" s="192"/>
      <c r="BA50" s="181"/>
      <c r="BB50" s="193">
        <v>0</v>
      </c>
      <c r="BC50" s="252" cm="1">
        <f t="array" ref="BC50">_xlfn.IFS(BB50=0,11,TRUE,0)</f>
        <v>11</v>
      </c>
      <c r="BD50" s="183">
        <v>0</v>
      </c>
      <c r="BE50" s="183">
        <v>4</v>
      </c>
      <c r="BF50" s="183">
        <v>0</v>
      </c>
      <c r="BG50" s="252">
        <f t="shared" ref="BG50:BG58" si="71">SUM(BD50+BE50+BF50)</f>
        <v>4</v>
      </c>
      <c r="BH50" s="183">
        <v>0</v>
      </c>
      <c r="BI50" s="183">
        <v>0</v>
      </c>
      <c r="BJ50" s="183">
        <v>2</v>
      </c>
      <c r="BK50" s="252">
        <f t="shared" ref="BK50:BK58" si="72">SUM(BH50+BI50+BJ50)</f>
        <v>2</v>
      </c>
    </row>
    <row r="51" spans="1:63" ht="15.75" x14ac:dyDescent="0.25">
      <c r="A51" s="180" t="s">
        <v>77</v>
      </c>
      <c r="B51" s="252">
        <f t="shared" si="60"/>
        <v>152</v>
      </c>
      <c r="C51" s="253">
        <f t="shared" ref="C51:C58" si="73">RANK(B51,$B$50:$B$58)</f>
        <v>5</v>
      </c>
      <c r="D51" s="13">
        <f>'Lodge Rank by District'!E36</f>
        <v>20</v>
      </c>
      <c r="E51" s="9" t="str">
        <f>'Active &amp; Renewals'!C41</f>
        <v>1418</v>
      </c>
      <c r="F51" s="9" t="str">
        <f>'Active &amp; Renewals'!D41</f>
        <v>1457</v>
      </c>
      <c r="G51" s="2">
        <f t="shared" si="61"/>
        <v>39</v>
      </c>
      <c r="H51" s="252" cm="1">
        <f t="array" ref="H51">_xlfn.IFS(G51&gt;20,11,G51&gt;11,10,G51&gt;2,9,G51&gt;0,8,G51&gt;-6,7,G51&gt;-11,6,G51&gt;-16,5,G51&gt;-21,4,G51&gt;-26,3,G51&gt;-31,2,G51&gt;-36,1,TRUE,0)</f>
        <v>11</v>
      </c>
      <c r="I51" s="113" t="str">
        <f>'Active &amp; Renewals'!E41</f>
        <v>88.49</v>
      </c>
      <c r="J51" s="252" cm="1">
        <f t="array" ref="J51">_xlfn.IFS(VALUE(I51)&gt;=90.5,11,VALUE(I51)&gt;=85.5,10,VALUE(I51)&gt;=80.5,9,VALUE(I51)&gt;=75.5,8,VALUE(I51)&gt;=74.5,7,VALUE(I51)&gt;=70.5,6,VALUE(I51)&gt;=64.5,5,VALUE(I51)&gt;=60.5,4,VALUE(I51)&gt;=54.5,3,VALUE(I51)&gt;=50.5,2,VALUE(I51)&gt;=44.5,1,TRUE,0)</f>
        <v>10</v>
      </c>
      <c r="K51" s="195">
        <v>2218.42</v>
      </c>
      <c r="L51" s="195">
        <f>Donations!B42</f>
        <v>2400.87</v>
      </c>
      <c r="M51" s="267">
        <f t="shared" si="62"/>
        <v>182.44999999999982</v>
      </c>
      <c r="N51" s="268">
        <f t="shared" si="63"/>
        <v>1.0822432181462482</v>
      </c>
      <c r="O51" s="252" cm="1">
        <f t="array" ref="O51">_xlfn.IFS(N51&gt;=115.5%,11,N51&gt;=110.5%,10,N51&gt;=100.5%,9,N51&gt;=99.5%,8,N51&gt;=89.5%,7,N51&gt;=75.5%,6,N51&gt;=60.5%,5,N51&gt;=45.5%,4,N51&gt;=30.5%,3,N51&gt;=15.5%,2,N51&gt;=0.5%,1,TRUE,0)</f>
        <v>9</v>
      </c>
      <c r="P51" s="12">
        <f t="shared" si="64"/>
        <v>1.6931382228490832</v>
      </c>
      <c r="Q51" s="252" cm="1">
        <f t="array" ref="Q51">_xlfn.IFS(P51&gt;10,11,P51&gt;=8.01,10,P51&gt;=6.01,9,P51&gt;=4.01,8,P51=4,7,P51&gt;=3.01,6,P51&gt;=2.01,5,P51&gt;=1.51,4,P51&gt;=1.01,3,P51&gt;=0.51,2,P51&gt;=0.01,1,TRUE,0)</f>
        <v>4</v>
      </c>
      <c r="R51" s="269">
        <v>4254</v>
      </c>
      <c r="S51" s="184">
        <f>Donations!C42</f>
        <v>1418</v>
      </c>
      <c r="T51" s="279">
        <f t="shared" si="65"/>
        <v>1</v>
      </c>
      <c r="U51" s="10">
        <f t="shared" si="66"/>
        <v>-2836</v>
      </c>
      <c r="V51" s="252" cm="1">
        <f t="array" ref="V51">_xlfn.IFS(T51&gt;=120%,11,T51&gt;=110.5%,10,T51&gt;=100.5%,9,T51&gt;99.9%,8,T51&gt;=85.5%,7,T51&gt;=72.5%,6,T51&gt;=65.5%,5,T51&gt;=55.5%,4,T51&gt;=45.5%,3,T51&gt;=35.5%,2,T51&gt;=20.5%,1,TRUE,0)</f>
        <v>8</v>
      </c>
      <c r="W51" s="269">
        <f t="shared" si="67"/>
        <v>212.7</v>
      </c>
      <c r="X51" s="184">
        <f>Donations!D42</f>
        <v>212.7</v>
      </c>
      <c r="Y51" s="269">
        <f t="shared" si="68"/>
        <v>0.15</v>
      </c>
      <c r="Z51" s="252" cm="1">
        <f t="array" ref="Z51">_xlfn.IFS(Y51&gt;=0.26,11,Y51&gt;=0.21,10,Y51&gt;=0.16,9,Y51=0.15,8,Y51=0.14,7,Y51=0.13,6,Y51&gt;=0.11,5,Y51&gt;=0.09,4,Y51&gt;=0.07,3,Y51&gt;=0.04,2,Y51&gt;=0.01,1,TRUE,0)</f>
        <v>8</v>
      </c>
      <c r="AA51" s="8" t="str">
        <f>'Active &amp; Renewals'!F41</f>
        <v>SUPERIOR</v>
      </c>
      <c r="AB51" s="281" cm="1">
        <f t="array" ref="AB51">_xlfn.IFS(AA51="SUPERIOR",11,AA51="EXCELLENT",9,AA51="GOOD",7,AA51="LATE",5,AA51="NO GRADE",3,AA51="NA",2,AA51="NO REPORT",0)</f>
        <v>11</v>
      </c>
      <c r="AC51" s="8" t="str">
        <f>'Active &amp; Renewals'!H41</f>
        <v>EXCELLENT</v>
      </c>
      <c r="AD51" s="281" cm="1">
        <f t="array" ref="AD51">_xlfn.IFS(AC51="SUPERIOR",11,AC51="EXCELLENT",9,AC51="GOOD",7,AC51="LATE",5,AC51="NO GRADE",3,AC51="NA",2,AC51="NO REPORT",0)</f>
        <v>9</v>
      </c>
      <c r="AE51" s="284" t="str">
        <f>'Active &amp; Renewals'!J41</f>
        <v>NO REPORT</v>
      </c>
      <c r="AF51" s="281" cm="1">
        <f t="array" ref="AF51">_xlfn.IFS(AE51="SUPERIOR",11,AE51="EXCELLENT",9,AE51="GOOD",7,AE51="LATE",5,AE51="NO GRADE",3,AE51="NA",2,AE51="NO REPORT",0)</f>
        <v>0</v>
      </c>
      <c r="AG51" s="282" t="str">
        <f>'Active &amp; Renewals'!L41</f>
        <v>NO REPORT</v>
      </c>
      <c r="AH51" s="281" cm="1">
        <f t="array" ref="AH51">_xlfn.IFS(AG51="SUPERIOR",11,AG51="EXCELLENT",9,AG51="GOOD",7,AG51="LATE",5,AG51="NO GRADE",3,AG51="NA",2,AG51="NO REPORT",0)</f>
        <v>0</v>
      </c>
      <c r="AI51" s="252">
        <f t="shared" si="69"/>
        <v>20</v>
      </c>
      <c r="AJ51" s="188" t="s">
        <v>655</v>
      </c>
      <c r="AK51" s="252" cm="1">
        <f t="array" ref="AK51">_xlfn.IFS(AJ51="8/8",11,AJ51="7/8",7,AJ51="6/8",6,AJ51="5/8",5,AJ51="4/8",4,AJ51="3/8",3,AJ51="2/8",2,AJ51="1/8",1,AJ51="0/8",0,TRUE,0)</f>
        <v>11</v>
      </c>
      <c r="AL51" s="189">
        <v>2</v>
      </c>
      <c r="AM51" s="300" cm="1">
        <f t="array" ref="AM51">_xlfn.IFS(AL51&gt;6,11,AL51&gt;=4,10,AL51&gt;=2,9,AL51=1,8,TRUE,0)</f>
        <v>9</v>
      </c>
      <c r="AN51" s="184">
        <f>Donations!E42</f>
        <v>100</v>
      </c>
      <c r="AO51" s="300" cm="1">
        <f t="array" ref="AO51">_xlfn.IFS(AN51&gt;125,11,AN51&gt;=116,10,AN51&gt;=101,9,AN51=100,8,AN51&gt;=86,7,AN51&gt;=71,6,AN51&gt;=61,5,AN51&gt;=51,4,AN51&gt;=41,3,AN51&gt;=26,2,AN51&gt;=1,1,TRUE,0)</f>
        <v>8</v>
      </c>
      <c r="AP51" s="190">
        <f>Donations!F42</f>
        <v>625</v>
      </c>
      <c r="AQ51" s="300" cm="1">
        <f t="array" ref="AQ51">_xlfn.IFS(AP51&gt;600,11,AP51&gt;=551,10,AP51&gt;=501,9,AP51=500,8,AP51&gt;=326,7,AP51&gt;=251,6,AP51&gt;=201,5,AP51&gt;=151,4,AP51&gt;=101,3,AP51&gt;=76,2,AP51&gt;=1,1,TRUE,0)</f>
        <v>11</v>
      </c>
      <c r="AR51" s="350"/>
      <c r="AS51" s="350"/>
      <c r="AT51" s="350"/>
      <c r="AU51" s="353"/>
      <c r="AV51" s="191">
        <v>5</v>
      </c>
      <c r="AW51" s="187">
        <v>4</v>
      </c>
      <c r="AX51" s="187">
        <v>2</v>
      </c>
      <c r="AY51" s="252">
        <f t="shared" si="70"/>
        <v>11</v>
      </c>
      <c r="AZ51" s="192"/>
      <c r="BA51" s="181"/>
      <c r="BB51" s="193">
        <v>0</v>
      </c>
      <c r="BC51" s="252" cm="1">
        <f t="array" ref="BC51">_xlfn.IFS(BB51=0,11,TRUE,0)</f>
        <v>11</v>
      </c>
      <c r="BD51" s="183">
        <v>4</v>
      </c>
      <c r="BE51" s="183">
        <v>4</v>
      </c>
      <c r="BF51" s="183">
        <v>4</v>
      </c>
      <c r="BG51" s="252">
        <f t="shared" si="71"/>
        <v>12</v>
      </c>
      <c r="BH51" s="183">
        <v>3</v>
      </c>
      <c r="BI51" s="183">
        <v>3</v>
      </c>
      <c r="BJ51" s="183">
        <v>3</v>
      </c>
      <c r="BK51" s="252">
        <f t="shared" si="72"/>
        <v>9</v>
      </c>
    </row>
    <row r="52" spans="1:63" ht="15.75" x14ac:dyDescent="0.25">
      <c r="A52" s="180" t="s">
        <v>76</v>
      </c>
      <c r="B52" s="252">
        <f t="shared" si="60"/>
        <v>156</v>
      </c>
      <c r="C52" s="253">
        <f t="shared" si="73"/>
        <v>4</v>
      </c>
      <c r="D52" s="13">
        <f>'Lodge Rank by District'!E37</f>
        <v>16</v>
      </c>
      <c r="E52" s="9" t="str">
        <f>'Active &amp; Renewals'!C67</f>
        <v>2923</v>
      </c>
      <c r="F52" s="9" t="str">
        <f>'Active &amp; Renewals'!D67</f>
        <v>2899</v>
      </c>
      <c r="G52" s="2">
        <f t="shared" si="61"/>
        <v>-24</v>
      </c>
      <c r="H52" s="252" cm="1">
        <f t="array" ref="H52">_xlfn.IFS(G52&gt;20,11,G52&gt;11,10,G52&gt;2,9,G52&gt;0,8,G52&gt;-6,7,G52&gt;-11,6,G52&gt;-16,5,G52&gt;-21,4,G52&gt;-26,3,G52&gt;-31,2,G52&gt;-36,1,TRUE,0)</f>
        <v>3</v>
      </c>
      <c r="I52" s="113" t="str">
        <f>'Active &amp; Renewals'!E67</f>
        <v>89.07</v>
      </c>
      <c r="J52" s="252" cm="1">
        <f t="array" ref="J52">_xlfn.IFS(VALUE(I52)&gt;=90.5,11,VALUE(I52)&gt;=85.5,10,VALUE(I52)&gt;=80.5,9,VALUE(I52)&gt;=75.5,8,VALUE(I52)&gt;=74.5,7,VALUE(I52)&gt;=70.5,6,VALUE(I52)&gt;=64.5,5,VALUE(I52)&gt;=60.5,4,VALUE(I52)&gt;=54.5,3,VALUE(I52)&gt;=50.5,2,VALUE(I52)&gt;=44.5,1,TRUE,0)</f>
        <v>10</v>
      </c>
      <c r="K52" s="195">
        <v>25763</v>
      </c>
      <c r="L52" s="195">
        <f>Donations!B55</f>
        <v>21191</v>
      </c>
      <c r="M52" s="267">
        <f t="shared" si="62"/>
        <v>-4572</v>
      </c>
      <c r="N52" s="268">
        <f t="shared" si="63"/>
        <v>0.82253619531886812</v>
      </c>
      <c r="O52" s="252" cm="1">
        <f t="array" ref="O52">_xlfn.IFS(N52&gt;=115.5%,11,N52&gt;=110.5%,10,N52&gt;=100.5%,9,N52&gt;=99.5%,8,N52&gt;=89.5%,7,N52&gt;=75.5%,6,N52&gt;=60.5%,5,N52&gt;=45.5%,4,N52&gt;=30.5%,3,N52&gt;=15.5%,2,N52&gt;=0.5%,1,TRUE,0)</f>
        <v>6</v>
      </c>
      <c r="P52" s="12">
        <f t="shared" si="64"/>
        <v>7.2497434143003767</v>
      </c>
      <c r="Q52" s="252" cm="1">
        <f t="array" ref="Q52">_xlfn.IFS(P52&gt;10,11,P52&gt;=8.01,10,P52&gt;=6.01,9,P52&gt;=4.01,8,P52=4,7,P52&gt;=3.01,6,P52&gt;=2.01,5,P52&gt;=1.51,4,P52&gt;=1.01,3,P52&gt;=0.51,2,P52&gt;=0.01,1,TRUE,0)</f>
        <v>9</v>
      </c>
      <c r="R52" s="269">
        <v>8769</v>
      </c>
      <c r="S52" s="184">
        <f>Donations!C55</f>
        <v>14000</v>
      </c>
      <c r="T52" s="279">
        <f t="shared" si="65"/>
        <v>4.7895997263085874</v>
      </c>
      <c r="U52" s="10">
        <f t="shared" si="66"/>
        <v>5231</v>
      </c>
      <c r="V52" s="252" cm="1">
        <f t="array" ref="V52">_xlfn.IFS(T52&gt;=120%,11,T52&gt;=110.5%,10,T52&gt;=100.5%,9,T52&gt;99.9%,8,T52&gt;=85.5%,7,T52&gt;=72.5%,6,T52&gt;=65.5%,5,T52&gt;=55.5%,4,T52&gt;=45.5%,3,T52&gt;=35.5%,2,T52&gt;=20.5%,1,TRUE,0)</f>
        <v>11</v>
      </c>
      <c r="W52" s="269">
        <f t="shared" si="67"/>
        <v>438.45</v>
      </c>
      <c r="X52" s="184">
        <f>Donations!D55</f>
        <v>4900</v>
      </c>
      <c r="Y52" s="269">
        <f t="shared" si="68"/>
        <v>1.6763599042080055</v>
      </c>
      <c r="Z52" s="252" cm="1">
        <f t="array" ref="Z52">_xlfn.IFS(Y52&gt;=0.26,11,Y52&gt;=0.21,10,Y52&gt;=0.16,9,Y52=0.15,8,Y52=0.14,7,Y52=0.13,6,Y52&gt;=0.11,5,Y52&gt;=0.09,4,Y52&gt;=0.07,3,Y52&gt;=0.04,2,Y52&gt;=0.01,1,TRUE,0)</f>
        <v>11</v>
      </c>
      <c r="AA52" s="8" t="str">
        <f>'Active &amp; Renewals'!F67</f>
        <v>SUPERIOR</v>
      </c>
      <c r="AB52" s="281" cm="1">
        <f t="array" ref="AB52">_xlfn.IFS(AA52="SUPERIOR",11,AA52="EXCELLENT",9,AA52="GOOD",7,AA52="LATE",5,AA52="NO GRADE",3,AA52="NA",2,AA52="NO REPORT",0)</f>
        <v>11</v>
      </c>
      <c r="AC52" s="8" t="str">
        <f>'Active &amp; Renewals'!H67</f>
        <v>SUPERIOR</v>
      </c>
      <c r="AD52" s="281" cm="1">
        <f t="array" ref="AD52">_xlfn.IFS(AC52="SUPERIOR",11,AC52="EXCELLENT",9,AC52="GOOD",7,AC52="LATE",5,AC52="NO GRADE",3,AC52="NA",2,AC52="NO REPORT",0)</f>
        <v>11</v>
      </c>
      <c r="AE52" s="284" t="str">
        <f>'Active &amp; Renewals'!J67</f>
        <v>NO REPORT</v>
      </c>
      <c r="AF52" s="281" cm="1">
        <f t="array" ref="AF52">_xlfn.IFS(AE52="SUPERIOR",11,AE52="EXCELLENT",9,AE52="GOOD",7,AE52="LATE",5,AE52="NO GRADE",3,AE52="NA",2,AE52="NO REPORT",0)</f>
        <v>0</v>
      </c>
      <c r="AG52" s="282" t="str">
        <f>'Active &amp; Renewals'!L67</f>
        <v>NO REPORT</v>
      </c>
      <c r="AH52" s="281" cm="1">
        <f t="array" ref="AH52">_xlfn.IFS(AG52="SUPERIOR",11,AG52="EXCELLENT",9,AG52="GOOD",7,AG52="LATE",5,AG52="NO GRADE",3,AG52="NA",2,AG52="NO REPORT",0)</f>
        <v>0</v>
      </c>
      <c r="AI52" s="252">
        <f t="shared" si="69"/>
        <v>22</v>
      </c>
      <c r="AJ52" s="188" t="s">
        <v>656</v>
      </c>
      <c r="AK52" s="252" cm="1">
        <f t="array" ref="AK52">_xlfn.IFS(AJ52="8/8",11,AJ52="7/8",7,AJ52="6/8",6,AJ52="5/8",5,AJ52="4/8",4,AJ52="3/8",3,AJ52="2/8",2,AJ52="1/8",1,AJ52="0/8",0,TRUE,0)</f>
        <v>7</v>
      </c>
      <c r="AL52" s="189">
        <v>5</v>
      </c>
      <c r="AM52" s="300" cm="1">
        <f t="array" ref="AM52">_xlfn.IFS(AL52&gt;6,11,AL52&gt;=4,10,AL52&gt;=2,9,AL52=1,8,TRUE,0)</f>
        <v>10</v>
      </c>
      <c r="AN52" s="184">
        <f>Donations!E55</f>
        <v>3000</v>
      </c>
      <c r="AO52" s="300" cm="1">
        <f t="array" ref="AO52">_xlfn.IFS(AN52&gt;125,11,AN52&gt;=116,10,AN52&gt;=101,9,AN52=100,8,AN52&gt;=86,7,AN52&gt;=71,6,AN52&gt;=61,5,AN52&gt;=51,4,AN52&gt;=41,3,AN52&gt;=26,2,AN52&gt;=1,1,TRUE,0)</f>
        <v>11</v>
      </c>
      <c r="AP52" s="190">
        <f>Donations!F55</f>
        <v>2300</v>
      </c>
      <c r="AQ52" s="300" cm="1">
        <f t="array" ref="AQ52">_xlfn.IFS(AP52&gt;600,11,AP52&gt;=551,10,AP52&gt;=501,9,AP52=500,8,AP52&gt;=326,7,AP52&gt;=251,6,AP52&gt;=201,5,AP52&gt;=151,4,AP52&gt;=101,3,AP52&gt;=76,2,AP52&gt;=1,1,TRUE,0)</f>
        <v>11</v>
      </c>
      <c r="AR52" s="350"/>
      <c r="AS52" s="350"/>
      <c r="AT52" s="350"/>
      <c r="AU52" s="353"/>
      <c r="AV52" s="191">
        <v>1</v>
      </c>
      <c r="AW52" s="187">
        <v>4</v>
      </c>
      <c r="AX52" s="187">
        <v>6</v>
      </c>
      <c r="AY52" s="252">
        <f t="shared" si="70"/>
        <v>11</v>
      </c>
      <c r="AZ52" s="183" t="s">
        <v>652</v>
      </c>
      <c r="BA52" s="181">
        <v>8</v>
      </c>
      <c r="BB52" s="193">
        <v>0</v>
      </c>
      <c r="BC52" s="252" cm="1">
        <f t="array" ref="BC52">_xlfn.IFS(BB52=0,11,TRUE,0)</f>
        <v>11</v>
      </c>
      <c r="BD52" s="183">
        <v>0</v>
      </c>
      <c r="BE52" s="183">
        <v>4</v>
      </c>
      <c r="BF52" s="183">
        <v>4</v>
      </c>
      <c r="BG52" s="252">
        <f t="shared" si="71"/>
        <v>8</v>
      </c>
      <c r="BH52" s="183">
        <v>2</v>
      </c>
      <c r="BI52" s="183">
        <v>2</v>
      </c>
      <c r="BJ52" s="183">
        <v>3</v>
      </c>
      <c r="BK52" s="252">
        <f t="shared" si="72"/>
        <v>7</v>
      </c>
    </row>
    <row r="53" spans="1:63" ht="15.75" x14ac:dyDescent="0.25">
      <c r="A53" s="180" t="s">
        <v>75</v>
      </c>
      <c r="B53" s="252">
        <f t="shared" si="60"/>
        <v>158</v>
      </c>
      <c r="C53" s="253">
        <f t="shared" si="73"/>
        <v>3</v>
      </c>
      <c r="D53" s="13">
        <f>'Lodge Rank by District'!E38</f>
        <v>13</v>
      </c>
      <c r="E53" s="9" t="str">
        <f>'Active &amp; Renewals'!C69</f>
        <v>1945</v>
      </c>
      <c r="F53" s="9" t="str">
        <f>'Active &amp; Renewals'!D69</f>
        <v>2083</v>
      </c>
      <c r="G53" s="2">
        <f t="shared" si="61"/>
        <v>138</v>
      </c>
      <c r="H53" s="252" cm="1">
        <f t="array" ref="H53">_xlfn.IFS(G53&gt;20,11,G53&gt;11,10,G53&gt;2,9,G53&gt;0,8,G53&gt;-6,7,G53&gt;-11,6,G53&gt;-16,5,G53&gt;-21,4,G53&gt;-26,3,G53&gt;-31,2,G53&gt;-36,1,TRUE,0)</f>
        <v>11</v>
      </c>
      <c r="I53" s="113" t="str">
        <f>'Active &amp; Renewals'!E69</f>
        <v>90.01</v>
      </c>
      <c r="J53" s="252" cm="1">
        <f t="array" ref="J53">_xlfn.IFS(VALUE(I53)&gt;=90.5,11,VALUE(I53)&gt;=85.5,10,VALUE(I53)&gt;=80.5,9,VALUE(I53)&gt;=75.5,8,VALUE(I53)&gt;=74.5,7,VALUE(I53)&gt;=70.5,6,VALUE(I53)&gt;=64.5,5,VALUE(I53)&gt;=60.5,4,VALUE(I53)&gt;=54.5,3,VALUE(I53)&gt;=50.5,2,VALUE(I53)&gt;=44.5,1,TRUE,0)</f>
        <v>10</v>
      </c>
      <c r="K53" s="195">
        <v>17558.04</v>
      </c>
      <c r="L53" s="195">
        <f>Donations!B12</f>
        <v>15154</v>
      </c>
      <c r="M53" s="267">
        <f t="shared" si="62"/>
        <v>-2404.0400000000009</v>
      </c>
      <c r="N53" s="268">
        <f t="shared" si="63"/>
        <v>0.86308038938286957</v>
      </c>
      <c r="O53" s="252" cm="1">
        <f t="array" ref="O53">_xlfn.IFS(N53&gt;=115.5%,11,N53&gt;=110.5%,10,N53&gt;=100.5%,9,N53&gt;=99.5%,8,N53&gt;=89.5%,7,N53&gt;=75.5%,6,N53&gt;=60.5%,5,N53&gt;=45.5%,4,N53&gt;=30.5%,3,N53&gt;=15.5%,2,N53&gt;=0.5%,1,TRUE,0)</f>
        <v>6</v>
      </c>
      <c r="P53" s="12">
        <f t="shared" si="64"/>
        <v>7.7912596401028278</v>
      </c>
      <c r="Q53" s="252" cm="1">
        <f t="array" ref="Q53">_xlfn.IFS(P53&gt;10,11,P53&gt;=8.01,10,P53&gt;=6.01,9,P53&gt;=4.01,8,P53=4,7,P53&gt;=3.01,6,P53&gt;=2.01,5,P53&gt;=1.51,4,P53&gt;=1.01,3,P53&gt;=0.51,2,P53&gt;=0.01,1,TRUE,0)</f>
        <v>9</v>
      </c>
      <c r="R53" s="269">
        <v>5835</v>
      </c>
      <c r="S53" s="184">
        <f>Donations!C12</f>
        <v>7000</v>
      </c>
      <c r="T53" s="279">
        <f t="shared" si="65"/>
        <v>3.5989717223650386</v>
      </c>
      <c r="U53" s="10">
        <f t="shared" si="66"/>
        <v>1165</v>
      </c>
      <c r="V53" s="252" cm="1">
        <f t="array" ref="V53">_xlfn.IFS(T53&gt;=120%,11,T53&gt;=110.5%,10,T53&gt;=100.5%,9,T53&gt;99.9%,8,T53&gt;=85.5%,7,T53&gt;=72.5%,6,T53&gt;=65.5%,5,T53&gt;=55.5%,4,T53&gt;=45.5%,3,T53&gt;=35.5%,2,T53&gt;=20.5%,1,TRUE,0)</f>
        <v>11</v>
      </c>
      <c r="W53" s="269">
        <f t="shared" si="67"/>
        <v>291.75</v>
      </c>
      <c r="X53" s="184">
        <f>Donations!D12</f>
        <v>1500</v>
      </c>
      <c r="Y53" s="269">
        <f t="shared" si="68"/>
        <v>0.77120822622107965</v>
      </c>
      <c r="Z53" s="252" cm="1">
        <f t="array" ref="Z53">_xlfn.IFS(Y53&gt;=0.26,11,Y53&gt;=0.21,10,Y53&gt;=0.16,9,Y53=0.15,8,Y53=0.14,7,Y53=0.13,6,Y53&gt;=0.11,5,Y53&gt;=0.09,4,Y53&gt;=0.07,3,Y53&gt;=0.04,2,Y53&gt;=0.01,1,TRUE,0)</f>
        <v>11</v>
      </c>
      <c r="AA53" s="8" t="str">
        <f>'Active &amp; Renewals'!F69</f>
        <v>SUPERIOR</v>
      </c>
      <c r="AB53" s="281" cm="1">
        <f t="array" ref="AB53">_xlfn.IFS(AA53="SUPERIOR",11,AA53="EXCELLENT",9,AA53="GOOD",7,AA53="LATE",5,AA53="NO GRADE",3,AA53="NA",2,AA53="NO REPORT",0)</f>
        <v>11</v>
      </c>
      <c r="AC53" s="8" t="str">
        <f>'Active &amp; Renewals'!H69</f>
        <v>SUPERIOR</v>
      </c>
      <c r="AD53" s="281" cm="1">
        <f t="array" ref="AD53">_xlfn.IFS(AC53="SUPERIOR",11,AC53="EXCELLENT",9,AC53="GOOD",7,AC53="LATE",5,AC53="NO GRADE",3,AC53="NA",2,AC53="NO REPORT",0)</f>
        <v>11</v>
      </c>
      <c r="AE53" s="284" t="str">
        <f>'Active &amp; Renewals'!J69</f>
        <v>NO REPORT</v>
      </c>
      <c r="AF53" s="281" cm="1">
        <f t="array" ref="AF53">_xlfn.IFS(AE53="SUPERIOR",11,AE53="EXCELLENT",9,AE53="GOOD",7,AE53="LATE",5,AE53="NO GRADE",3,AE53="NA",2,AE53="NO REPORT",0)</f>
        <v>0</v>
      </c>
      <c r="AG53" s="282" t="str">
        <f>'Active &amp; Renewals'!L69</f>
        <v>NO REPORT</v>
      </c>
      <c r="AH53" s="281" cm="1">
        <f t="array" ref="AH53">_xlfn.IFS(AG53="SUPERIOR",11,AG53="EXCELLENT",9,AG53="GOOD",7,AG53="LATE",5,AG53="NO GRADE",3,AG53="NA",2,AG53="NO REPORT",0)</f>
        <v>0</v>
      </c>
      <c r="AI53" s="252">
        <f t="shared" si="69"/>
        <v>22</v>
      </c>
      <c r="AJ53" s="188" t="s">
        <v>653</v>
      </c>
      <c r="AK53" s="252" cm="1">
        <f t="array" ref="AK53">_xlfn.IFS(AJ53="8/8",11,AJ53="7/8",7,AJ53="6/8",6,AJ53="5/8",5,AJ53="4/8",4,AJ53="3/8",3,AJ53="2/8",2,AJ53="1/8",1,AJ53="0/8",0,TRUE,0)</f>
        <v>6</v>
      </c>
      <c r="AL53" s="189">
        <v>3</v>
      </c>
      <c r="AM53" s="300" cm="1">
        <f t="array" ref="AM53">_xlfn.IFS(AL53&gt;6,11,AL53&gt;=4,10,AL53&gt;=2,9,AL53=1,8,TRUE,0)</f>
        <v>9</v>
      </c>
      <c r="AN53" s="184">
        <f>Donations!E12</f>
        <v>250</v>
      </c>
      <c r="AO53" s="300" cm="1">
        <f t="array" ref="AO53">_xlfn.IFS(AN53&gt;125,11,AN53&gt;=116,10,AN53&gt;=101,9,AN53=100,8,AN53&gt;=86,7,AN53&gt;=71,6,AN53&gt;=61,5,AN53&gt;=51,4,AN53&gt;=41,3,AN53&gt;=26,2,AN53&gt;=1,1,TRUE,0)</f>
        <v>11</v>
      </c>
      <c r="AP53" s="190">
        <f>Donations!F12</f>
        <v>800</v>
      </c>
      <c r="AQ53" s="300" cm="1">
        <f t="array" ref="AQ53">_xlfn.IFS(AP53&gt;600,11,AP53&gt;=551,10,AP53&gt;=501,9,AP53=500,8,AP53&gt;=326,7,AP53&gt;=251,6,AP53&gt;=201,5,AP53&gt;=151,4,AP53&gt;=101,3,AP53&gt;=76,2,AP53&gt;=1,1,TRUE,0)</f>
        <v>11</v>
      </c>
      <c r="AR53" s="350"/>
      <c r="AS53" s="350"/>
      <c r="AT53" s="350"/>
      <c r="AU53" s="353"/>
      <c r="AV53" s="191">
        <v>6</v>
      </c>
      <c r="AW53" s="187">
        <v>5</v>
      </c>
      <c r="AX53" s="187">
        <v>5</v>
      </c>
      <c r="AY53" s="252">
        <f t="shared" si="70"/>
        <v>16</v>
      </c>
      <c r="AZ53" s="192"/>
      <c r="BA53" s="181"/>
      <c r="BB53" s="193">
        <v>0</v>
      </c>
      <c r="BC53" s="252" cm="1">
        <f t="array" ref="BC53">_xlfn.IFS(BB53=0,11,TRUE,0)</f>
        <v>11</v>
      </c>
      <c r="BD53" s="183">
        <v>0</v>
      </c>
      <c r="BE53" s="183">
        <v>4</v>
      </c>
      <c r="BF53" s="183">
        <v>4</v>
      </c>
      <c r="BG53" s="252">
        <f t="shared" si="71"/>
        <v>8</v>
      </c>
      <c r="BH53" s="183">
        <v>0</v>
      </c>
      <c r="BI53" s="183">
        <v>3</v>
      </c>
      <c r="BJ53" s="183">
        <v>3</v>
      </c>
      <c r="BK53" s="252">
        <f t="shared" si="72"/>
        <v>6</v>
      </c>
    </row>
    <row r="54" spans="1:63" ht="15.75" x14ac:dyDescent="0.25">
      <c r="A54" s="180" t="s">
        <v>74</v>
      </c>
      <c r="B54" s="252">
        <f t="shared" si="60"/>
        <v>162</v>
      </c>
      <c r="C54" s="253">
        <f t="shared" si="73"/>
        <v>2</v>
      </c>
      <c r="D54" s="13">
        <f>'Lodge Rank by District'!E39</f>
        <v>11</v>
      </c>
      <c r="E54" s="9" t="str">
        <f>'Active &amp; Renewals'!C76</f>
        <v>1702</v>
      </c>
      <c r="F54" s="9" t="str">
        <f>'Active &amp; Renewals'!D76</f>
        <v>1818</v>
      </c>
      <c r="G54" s="2">
        <f t="shared" si="61"/>
        <v>116</v>
      </c>
      <c r="H54" s="252" cm="1">
        <f t="array" ref="H54">_xlfn.IFS(G54&gt;20,11,G54&gt;11,10,G54&gt;2,9,G54&gt;0,8,G54&gt;-6,7,G54&gt;-11,6,G54&gt;-16,5,G54&gt;-21,4,G54&gt;-26,3,G54&gt;-31,2,G54&gt;-36,1,TRUE,0)</f>
        <v>11</v>
      </c>
      <c r="I54" s="113" t="str">
        <f>'Active &amp; Renewals'!E76</f>
        <v>88.22</v>
      </c>
      <c r="J54" s="252" cm="1">
        <f t="array" ref="J54">_xlfn.IFS(VALUE(I54)&gt;=90.5,11,VALUE(I54)&gt;=85.5,10,VALUE(I54)&gt;=80.5,9,VALUE(I54)&gt;=75.5,8,VALUE(I54)&gt;=74.5,7,VALUE(I54)&gt;=70.5,6,VALUE(I54)&gt;=64.5,5,VALUE(I54)&gt;=60.5,4,VALUE(I54)&gt;=54.5,3,VALUE(I54)&gt;=50.5,2,VALUE(I54)&gt;=44.5,1,TRUE,0)</f>
        <v>10</v>
      </c>
      <c r="K54" s="195">
        <v>16213.5</v>
      </c>
      <c r="L54" s="195">
        <f>Donations!B63</f>
        <v>5332.21</v>
      </c>
      <c r="M54" s="267">
        <f t="shared" si="62"/>
        <v>-10881.29</v>
      </c>
      <c r="N54" s="268">
        <f t="shared" si="63"/>
        <v>0.32887470317944922</v>
      </c>
      <c r="O54" s="252" cm="1">
        <f t="array" ref="O54">_xlfn.IFS(N54&gt;=115.5%,11,N54&gt;=110.5%,10,N54&gt;=100.5%,9,N54&gt;=99.5%,8,N54&gt;=89.5%,7,N54&gt;=75.5%,6,N54&gt;=60.5%,5,N54&gt;=45.5%,4,N54&gt;=30.5%,3,N54&gt;=15.5%,2,N54&gt;=0.5%,1,TRUE,0)</f>
        <v>3</v>
      </c>
      <c r="P54" s="12">
        <f t="shared" si="64"/>
        <v>3.1329083431257345</v>
      </c>
      <c r="Q54" s="252" cm="1">
        <f t="array" ref="Q54">_xlfn.IFS(P54&gt;10,11,P54&gt;=8.01,10,P54&gt;=6.01,9,P54&gt;=4.01,8,P54=4,7,P54&gt;=3.01,6,P54&gt;=2.01,5,P54&gt;=1.51,4,P54&gt;=1.01,3,P54&gt;=0.51,2,P54&gt;=0.01,1,TRUE,0)</f>
        <v>6</v>
      </c>
      <c r="R54" s="269">
        <v>5106</v>
      </c>
      <c r="S54" s="184">
        <f>Donations!C63</f>
        <v>12500</v>
      </c>
      <c r="T54" s="279">
        <f t="shared" si="65"/>
        <v>7.3443008225616921</v>
      </c>
      <c r="U54" s="10">
        <f t="shared" si="66"/>
        <v>7394</v>
      </c>
      <c r="V54" s="252" cm="1">
        <f t="array" ref="V54">_xlfn.IFS(T54&gt;=120%,11,T54&gt;=110.5%,10,T54&gt;=100.5%,9,T54&gt;99.9%,8,T54&gt;=85.5%,7,T54&gt;=72.5%,6,T54&gt;=65.5%,5,T54&gt;=55.5%,4,T54&gt;=45.5%,3,T54&gt;=35.5%,2,T54&gt;=20.5%,1,TRUE,0)</f>
        <v>11</v>
      </c>
      <c r="W54" s="269">
        <f t="shared" si="67"/>
        <v>255.29999999999998</v>
      </c>
      <c r="X54" s="184">
        <f>Donations!D63</f>
        <v>800</v>
      </c>
      <c r="Y54" s="269">
        <f t="shared" si="68"/>
        <v>0.4700352526439483</v>
      </c>
      <c r="Z54" s="252" cm="1">
        <f t="array" ref="Z54">_xlfn.IFS(Y54&gt;=0.26,11,Y54&gt;=0.21,10,Y54&gt;=0.16,9,Y54=0.15,8,Y54=0.14,7,Y54=0.13,6,Y54&gt;=0.11,5,Y54&gt;=0.09,4,Y54&gt;=0.07,3,Y54&gt;=0.04,2,Y54&gt;=0.01,1,TRUE,0)</f>
        <v>11</v>
      </c>
      <c r="AA54" s="8" t="str">
        <f>'Active &amp; Renewals'!F76</f>
        <v>SUPERIOR</v>
      </c>
      <c r="AB54" s="281" cm="1">
        <f t="array" ref="AB54">_xlfn.IFS(AA54="SUPERIOR",11,AA54="EXCELLENT",9,AA54="GOOD",7,AA54="LATE",5,AA54="NO GRADE",3,AA54="NA",2,AA54="NO REPORT",0)</f>
        <v>11</v>
      </c>
      <c r="AC54" s="8" t="str">
        <f>'Active &amp; Renewals'!H76</f>
        <v>SUPERIOR</v>
      </c>
      <c r="AD54" s="281" cm="1">
        <f t="array" ref="AD54">_xlfn.IFS(AC54="SUPERIOR",11,AC54="EXCELLENT",9,AC54="GOOD",7,AC54="LATE",5,AC54="NO GRADE",3,AC54="NA",2,AC54="NO REPORT",0)</f>
        <v>11</v>
      </c>
      <c r="AE54" s="284" t="str">
        <f>'Active &amp; Renewals'!J76</f>
        <v>NO REPORT</v>
      </c>
      <c r="AF54" s="281" cm="1">
        <f t="array" ref="AF54">_xlfn.IFS(AE54="SUPERIOR",11,AE54="EXCELLENT",9,AE54="GOOD",7,AE54="LATE",5,AE54="NO GRADE",3,AE54="NA",2,AE54="NO REPORT",0)</f>
        <v>0</v>
      </c>
      <c r="AG54" s="282" t="str">
        <f>'Active &amp; Renewals'!L76</f>
        <v>NO REPORT</v>
      </c>
      <c r="AH54" s="281" cm="1">
        <f t="array" ref="AH54">_xlfn.IFS(AG54="SUPERIOR",11,AG54="EXCELLENT",9,AG54="GOOD",7,AG54="LATE",5,AG54="NO GRADE",3,AG54="NA",2,AG54="NO REPORT",0)</f>
        <v>0</v>
      </c>
      <c r="AI54" s="252">
        <f t="shared" si="69"/>
        <v>22</v>
      </c>
      <c r="AJ54" s="188" t="s">
        <v>655</v>
      </c>
      <c r="AK54" s="252" cm="1">
        <f t="array" ref="AK54">_xlfn.IFS(AJ54="8/8",11,AJ54="7/8",7,AJ54="6/8",6,AJ54="5/8",5,AJ54="4/8",4,AJ54="3/8",3,AJ54="2/8",2,AJ54="1/8",1,AJ54="0/8",0,TRUE,0)</f>
        <v>11</v>
      </c>
      <c r="AL54" s="189">
        <v>14</v>
      </c>
      <c r="AM54" s="300" cm="1">
        <f t="array" ref="AM54">_xlfn.IFS(AL54&gt;6,11,AL54&gt;=4,10,AL54&gt;=2,9,AL54=1,8,TRUE,0)</f>
        <v>11</v>
      </c>
      <c r="AN54" s="184">
        <f>Donations!E63</f>
        <v>250</v>
      </c>
      <c r="AO54" s="300" cm="1">
        <f t="array" ref="AO54">_xlfn.IFS(AN54&gt;125,11,AN54&gt;=116,10,AN54&gt;=101,9,AN54=100,8,AN54&gt;=86,7,AN54&gt;=71,6,AN54&gt;=61,5,AN54&gt;=51,4,AN54&gt;=41,3,AN54&gt;=26,2,AN54&gt;=1,1,TRUE,0)</f>
        <v>11</v>
      </c>
      <c r="AP54" s="190">
        <f>Donations!F63</f>
        <v>601</v>
      </c>
      <c r="AQ54" s="300" cm="1">
        <f t="array" ref="AQ54">_xlfn.IFS(AP54&gt;600,11,AP54&gt;=551,10,AP54&gt;=501,9,AP54=500,8,AP54&gt;=326,7,AP54&gt;=251,6,AP54&gt;=201,5,AP54&gt;=151,4,AP54&gt;=101,3,AP54&gt;=76,2,AP54&gt;=1,1,TRUE,0)</f>
        <v>11</v>
      </c>
      <c r="AR54" s="350"/>
      <c r="AS54" s="350"/>
      <c r="AT54" s="350"/>
      <c r="AU54" s="353"/>
      <c r="AV54" s="191">
        <v>6</v>
      </c>
      <c r="AW54" s="187">
        <v>5</v>
      </c>
      <c r="AX54" s="187">
        <v>6</v>
      </c>
      <c r="AY54" s="252">
        <f t="shared" si="70"/>
        <v>17</v>
      </c>
      <c r="AZ54" s="192"/>
      <c r="BA54" s="181"/>
      <c r="BB54" s="193">
        <v>0</v>
      </c>
      <c r="BC54" s="252" cm="1">
        <f t="array" ref="BC54">_xlfn.IFS(BB54=0,11,TRUE,0)</f>
        <v>11</v>
      </c>
      <c r="BD54" s="183">
        <v>0</v>
      </c>
      <c r="BE54" s="183">
        <v>4</v>
      </c>
      <c r="BF54" s="183">
        <v>4</v>
      </c>
      <c r="BG54" s="252">
        <f t="shared" si="71"/>
        <v>8</v>
      </c>
      <c r="BH54" s="183">
        <v>2</v>
      </c>
      <c r="BI54" s="183">
        <v>3</v>
      </c>
      <c r="BJ54" s="183">
        <v>3</v>
      </c>
      <c r="BK54" s="252">
        <f t="shared" si="72"/>
        <v>8</v>
      </c>
    </row>
    <row r="55" spans="1:63" ht="15.75" x14ac:dyDescent="0.25">
      <c r="A55" s="180" t="s">
        <v>73</v>
      </c>
      <c r="B55" s="252">
        <f t="shared" si="60"/>
        <v>130</v>
      </c>
      <c r="C55" s="253">
        <f t="shared" si="73"/>
        <v>7</v>
      </c>
      <c r="D55" s="13">
        <f>'Lodge Rank by District'!E40</f>
        <v>48</v>
      </c>
      <c r="E55" s="9" t="str">
        <f>'Active &amp; Renewals'!C88</f>
        <v>838</v>
      </c>
      <c r="F55" s="9" t="str">
        <f>'Active &amp; Renewals'!D88</f>
        <v>784</v>
      </c>
      <c r="G55" s="2">
        <f t="shared" si="61"/>
        <v>-54</v>
      </c>
      <c r="H55" s="252" cm="1">
        <f t="array" ref="H55">_xlfn.IFS(G55&gt;20,11,G55&gt;11,10,G55&gt;2,9,G55&gt;0,8,G55&gt;-6,7,G55&gt;-11,6,G55&gt;-16,5,G55&gt;-21,4,G55&gt;-26,3,G55&gt;-31,2,G55&gt;-36,1,TRUE,0)</f>
        <v>0</v>
      </c>
      <c r="I55" s="113" t="str">
        <f>'Active &amp; Renewals'!E88</f>
        <v>84.07</v>
      </c>
      <c r="J55" s="252" cm="1">
        <f t="array" ref="J55">_xlfn.IFS(VALUE(I55)&gt;=90.5,11,VALUE(I55)&gt;=85.5,10,VALUE(I55)&gt;=80.5,9,VALUE(I55)&gt;=75.5,8,VALUE(I55)&gt;=74.5,7,VALUE(I55)&gt;=70.5,6,VALUE(I55)&gt;=64.5,5,VALUE(I55)&gt;=60.5,4,VALUE(I55)&gt;=54.5,3,VALUE(I55)&gt;=50.5,2,VALUE(I55)&gt;=44.5,1,TRUE,0)</f>
        <v>9</v>
      </c>
      <c r="K55" s="195">
        <v>2351</v>
      </c>
      <c r="L55" s="195">
        <f>Donations!B97</f>
        <v>2090.75</v>
      </c>
      <c r="M55" s="267">
        <f t="shared" si="62"/>
        <v>-260.25</v>
      </c>
      <c r="N55" s="268">
        <f t="shared" si="63"/>
        <v>0.88930242450021268</v>
      </c>
      <c r="O55" s="252" cm="1">
        <f t="array" ref="O55">_xlfn.IFS(N55&gt;=115.5%,11,N55&gt;=110.5%,10,N55&gt;=100.5%,9,N55&gt;=99.5%,8,N55&gt;=89.5%,7,N55&gt;=75.5%,6,N55&gt;=60.5%,5,N55&gt;=45.5%,4,N55&gt;=30.5%,3,N55&gt;=15.5%,2,N55&gt;=0.5%,1,TRUE,0)</f>
        <v>6</v>
      </c>
      <c r="P55" s="12">
        <f t="shared" si="64"/>
        <v>2.4949284009546537</v>
      </c>
      <c r="Q55" s="252" cm="1">
        <f t="array" ref="Q55">_xlfn.IFS(P55&gt;10,11,P55&gt;=8.01,10,P55&gt;=6.01,9,P55&gt;=4.01,8,P55=4,7,P55&gt;=3.01,6,P55&gt;=2.01,5,P55&gt;=1.51,4,P55&gt;=1.01,3,P55&gt;=0.51,2,P55&gt;=0.01,1,TRUE,0)</f>
        <v>5</v>
      </c>
      <c r="R55" s="269">
        <v>2514</v>
      </c>
      <c r="S55" s="184">
        <f>Donations!C97</f>
        <v>200</v>
      </c>
      <c r="T55" s="279">
        <f t="shared" si="65"/>
        <v>0.2386634844868735</v>
      </c>
      <c r="U55" s="10">
        <f t="shared" si="66"/>
        <v>-2314</v>
      </c>
      <c r="V55" s="252" cm="1">
        <f t="array" ref="V55">_xlfn.IFS(T55&gt;=120%,11,T55&gt;=110.5%,10,T55&gt;=100.5%,9,T55&gt;99.9%,8,T55&gt;=85.5%,7,T55&gt;=72.5%,6,T55&gt;=65.5%,5,T55&gt;=55.5%,4,T55&gt;=45.5%,3,T55&gt;=35.5%,2,T55&gt;=20.5%,1,TRUE,0)</f>
        <v>1</v>
      </c>
      <c r="W55" s="269">
        <f t="shared" si="67"/>
        <v>125.69999999999999</v>
      </c>
      <c r="X55" s="184">
        <f>Donations!D97</f>
        <v>1400</v>
      </c>
      <c r="Y55" s="269">
        <f t="shared" si="68"/>
        <v>1.6706443914081146</v>
      </c>
      <c r="Z55" s="252" cm="1">
        <f t="array" ref="Z55">_xlfn.IFS(Y55&gt;=0.26,11,Y55&gt;=0.21,10,Y55&gt;=0.16,9,Y55=0.15,8,Y55=0.14,7,Y55=0.13,6,Y55&gt;=0.11,5,Y55&gt;=0.09,4,Y55&gt;=0.07,3,Y55&gt;=0.04,2,Y55&gt;=0.01,1,TRUE,0)</f>
        <v>11</v>
      </c>
      <c r="AA55" s="8" t="str">
        <f>'Active &amp; Renewals'!F88</f>
        <v>NO GRADE</v>
      </c>
      <c r="AB55" s="281" cm="1">
        <f t="array" ref="AB55">_xlfn.IFS(AA55="SUPERIOR",11,AA55="EXCELLENT",9,AA55="GOOD",7,AA55="LATE",5,AA55="NO GRADE",3,AA55="NA",2,AA55="NO REPORT",0)</f>
        <v>3</v>
      </c>
      <c r="AC55" s="8" t="str">
        <f>'Active &amp; Renewals'!H88</f>
        <v>SUPERIOR</v>
      </c>
      <c r="AD55" s="281" cm="1">
        <f t="array" ref="AD55">_xlfn.IFS(AC55="SUPERIOR",11,AC55="EXCELLENT",9,AC55="GOOD",7,AC55="LATE",5,AC55="NO GRADE",3,AC55="NA",2,AC55="NO REPORT",0)</f>
        <v>11</v>
      </c>
      <c r="AE55" s="284" t="str">
        <f>'Active &amp; Renewals'!J88</f>
        <v>NO REPORT</v>
      </c>
      <c r="AF55" s="281" cm="1">
        <f t="array" ref="AF55">_xlfn.IFS(AE55="SUPERIOR",11,AE55="EXCELLENT",9,AE55="GOOD",7,AE55="LATE",5,AE55="NO GRADE",3,AE55="NA",2,AE55="NO REPORT",0)</f>
        <v>0</v>
      </c>
      <c r="AG55" s="282" t="str">
        <f>'Active &amp; Renewals'!L88</f>
        <v>NO REPORT</v>
      </c>
      <c r="AH55" s="281" cm="1">
        <f t="array" ref="AH55">_xlfn.IFS(AG55="SUPERIOR",11,AG55="EXCELLENT",9,AG55="GOOD",7,AG55="LATE",5,AG55="NO GRADE",3,AG55="NA",2,AG55="NO REPORT",0)</f>
        <v>0</v>
      </c>
      <c r="AI55" s="252">
        <f t="shared" si="69"/>
        <v>14</v>
      </c>
      <c r="AJ55" s="188" t="s">
        <v>656</v>
      </c>
      <c r="AK55" s="252" cm="1">
        <f t="array" ref="AK55">_xlfn.IFS(AJ55="8/8",11,AJ55="7/8",7,AJ55="6/8",6,AJ55="5/8",5,AJ55="4/8",4,AJ55="3/8",3,AJ55="2/8",2,AJ55="1/8",1,AJ55="0/8",0,TRUE,0)</f>
        <v>7</v>
      </c>
      <c r="AL55" s="189">
        <v>2</v>
      </c>
      <c r="AM55" s="300" cm="1">
        <f t="array" ref="AM55">_xlfn.IFS(AL55&gt;6,11,AL55&gt;=4,10,AL55&gt;=2,9,AL55=1,8,TRUE,0)</f>
        <v>9</v>
      </c>
      <c r="AN55" s="184">
        <f>Donations!E97</f>
        <v>1600</v>
      </c>
      <c r="AO55" s="300" cm="1">
        <f t="array" ref="AO55">_xlfn.IFS(AN55&gt;125,11,AN55&gt;=116,10,AN55&gt;=101,9,AN55=100,8,AN55&gt;=86,7,AN55&gt;=71,6,AN55&gt;=61,5,AN55&gt;=51,4,AN55&gt;=41,3,AN55&gt;=26,2,AN55&gt;=1,1,TRUE,0)</f>
        <v>11</v>
      </c>
      <c r="AP55" s="190">
        <f>Donations!F97</f>
        <v>2900</v>
      </c>
      <c r="AQ55" s="300" cm="1">
        <f t="array" ref="AQ55">_xlfn.IFS(AP55&gt;600,11,AP55&gt;=551,10,AP55&gt;=501,9,AP55=500,8,AP55&gt;=326,7,AP55&gt;=251,6,AP55&gt;=201,5,AP55&gt;=151,4,AP55&gt;=101,3,AP55&gt;=76,2,AP55&gt;=1,1,TRUE,0)</f>
        <v>11</v>
      </c>
      <c r="AR55" s="350"/>
      <c r="AS55" s="350"/>
      <c r="AT55" s="350"/>
      <c r="AU55" s="353"/>
      <c r="AV55" s="191">
        <v>5</v>
      </c>
      <c r="AW55" s="187">
        <v>6</v>
      </c>
      <c r="AX55" s="187">
        <v>3</v>
      </c>
      <c r="AY55" s="252">
        <f t="shared" si="70"/>
        <v>14</v>
      </c>
      <c r="AZ55" s="192"/>
      <c r="BA55" s="181"/>
      <c r="BB55" s="193">
        <v>0</v>
      </c>
      <c r="BC55" s="252" cm="1">
        <f t="array" ref="BC55">_xlfn.IFS(BB55=0,11,TRUE,0)</f>
        <v>11</v>
      </c>
      <c r="BD55" s="183">
        <v>4</v>
      </c>
      <c r="BE55" s="183">
        <v>4</v>
      </c>
      <c r="BF55" s="183">
        <v>4</v>
      </c>
      <c r="BG55" s="252">
        <f t="shared" si="71"/>
        <v>12</v>
      </c>
      <c r="BH55" s="183">
        <v>3</v>
      </c>
      <c r="BI55" s="183">
        <v>3</v>
      </c>
      <c r="BJ55" s="183">
        <v>3</v>
      </c>
      <c r="BK55" s="252">
        <f t="shared" si="72"/>
        <v>9</v>
      </c>
    </row>
    <row r="56" spans="1:63" ht="15.75" x14ac:dyDescent="0.25">
      <c r="A56" s="180" t="s">
        <v>72</v>
      </c>
      <c r="B56" s="252">
        <f t="shared" si="60"/>
        <v>138</v>
      </c>
      <c r="C56" s="253">
        <f t="shared" si="73"/>
        <v>6</v>
      </c>
      <c r="D56" s="13">
        <f>'Lodge Rank by District'!E41</f>
        <v>31</v>
      </c>
      <c r="E56" s="9" t="str">
        <f>'Active &amp; Renewals'!C96</f>
        <v>373</v>
      </c>
      <c r="F56" s="9" t="str">
        <f>'Active &amp; Renewals'!D96</f>
        <v>363</v>
      </c>
      <c r="G56" s="2">
        <f t="shared" si="61"/>
        <v>-10</v>
      </c>
      <c r="H56" s="252" cm="1">
        <f t="array" ref="H56">_xlfn.IFS(G56&gt;20,11,G56&gt;11,10,G56&gt;2,9,G56&gt;0,8,G56&gt;-6,7,G56&gt;-11,6,G56&gt;-16,5,G56&gt;-21,4,G56&gt;-26,3,G56&gt;-31,2,G56&gt;-36,1,TRUE,0)</f>
        <v>6</v>
      </c>
      <c r="I56" s="113" t="str">
        <f>'Active &amp; Renewals'!E96</f>
        <v>91.69</v>
      </c>
      <c r="J56" s="252" cm="1">
        <f t="array" ref="J56">_xlfn.IFS(VALUE(I56)&gt;=90.5,11,VALUE(I56)&gt;=85.5,10,VALUE(I56)&gt;=80.5,9,VALUE(I56)&gt;=75.5,8,VALUE(I56)&gt;=74.5,7,VALUE(I56)&gt;=70.5,6,VALUE(I56)&gt;=64.5,5,VALUE(I56)&gt;=60.5,4,VALUE(I56)&gt;=54.5,3,VALUE(I56)&gt;=50.5,2,VALUE(I56)&gt;=44.5,1,TRUE,0)</f>
        <v>11</v>
      </c>
      <c r="K56" s="195">
        <v>6302</v>
      </c>
      <c r="L56" s="195">
        <f>Donations!B38</f>
        <v>5961</v>
      </c>
      <c r="M56" s="267">
        <f t="shared" si="62"/>
        <v>-341</v>
      </c>
      <c r="N56" s="268">
        <f t="shared" si="63"/>
        <v>0.94589019358933668</v>
      </c>
      <c r="O56" s="252" cm="1">
        <f t="array" ref="O56">_xlfn.IFS(N56&gt;=115.5%,11,N56&gt;=110.5%,10,N56&gt;=100.5%,9,N56&gt;=99.5%,8,N56&gt;=89.5%,7,N56&gt;=75.5%,6,N56&gt;=60.5%,5,N56&gt;=45.5%,4,N56&gt;=30.5%,3,N56&gt;=15.5%,2,N56&gt;=0.5%,1,TRUE,0)</f>
        <v>7</v>
      </c>
      <c r="P56" s="12">
        <f t="shared" si="64"/>
        <v>15.981233243967829</v>
      </c>
      <c r="Q56" s="252" cm="1">
        <f t="array" ref="Q56">_xlfn.IFS(P56&gt;10,11,P56&gt;=8.01,10,P56&gt;=6.01,9,P56&gt;=4.01,8,P56=4,7,P56&gt;=3.01,6,P56&gt;=2.01,5,P56&gt;=1.51,4,P56&gt;=1.01,3,P56&gt;=0.51,2,P56&gt;=0.01,1,TRUE,0)</f>
        <v>11</v>
      </c>
      <c r="R56" s="269">
        <v>1119</v>
      </c>
      <c r="S56" s="184">
        <f>Donations!C38</f>
        <v>4900</v>
      </c>
      <c r="T56" s="279">
        <f t="shared" si="65"/>
        <v>13.136729222520108</v>
      </c>
      <c r="U56" s="10">
        <f t="shared" si="66"/>
        <v>3781</v>
      </c>
      <c r="V56" s="252" cm="1">
        <f t="array" ref="V56">_xlfn.IFS(T56&gt;=120%,11,T56&gt;=110.5%,10,T56&gt;=100.5%,9,T56&gt;99.9%,8,T56&gt;=85.5%,7,T56&gt;=72.5%,6,T56&gt;=65.5%,5,T56&gt;=55.5%,4,T56&gt;=45.5%,3,T56&gt;=35.5%,2,T56&gt;=20.5%,1,TRUE,0)</f>
        <v>11</v>
      </c>
      <c r="W56" s="269">
        <f t="shared" si="67"/>
        <v>55.949999999999996</v>
      </c>
      <c r="X56" s="184">
        <f>Donations!D38</f>
        <v>2500</v>
      </c>
      <c r="Y56" s="269">
        <f t="shared" si="68"/>
        <v>6.7024128686327078</v>
      </c>
      <c r="Z56" s="252" cm="1">
        <f t="array" ref="Z56">_xlfn.IFS(Y56&gt;=0.26,11,Y56&gt;=0.21,10,Y56&gt;=0.16,9,Y56=0.15,8,Y56=0.14,7,Y56=0.13,6,Y56&gt;=0.11,5,Y56&gt;=0.09,4,Y56&gt;=0.07,3,Y56&gt;=0.04,2,Y56&gt;=0.01,1,TRUE,0)</f>
        <v>11</v>
      </c>
      <c r="AA56" s="8" t="str">
        <f>'Active &amp; Renewals'!F96</f>
        <v>SUPERIOR</v>
      </c>
      <c r="AB56" s="281" cm="1">
        <f t="array" ref="AB56">_xlfn.IFS(AA56="SUPERIOR",11,AA56="EXCELLENT",9,AA56="GOOD",7,AA56="LATE",5,AA56="NO GRADE",3,AA56="NA",2,AA56="NO REPORT",0)</f>
        <v>11</v>
      </c>
      <c r="AC56" s="8" t="str">
        <f>'Active &amp; Renewals'!H96</f>
        <v>SUPERIOR</v>
      </c>
      <c r="AD56" s="281" cm="1">
        <f t="array" ref="AD56">_xlfn.IFS(AC56="SUPERIOR",11,AC56="EXCELLENT",9,AC56="GOOD",7,AC56="LATE",5,AC56="NO GRADE",3,AC56="NA",2,AC56="NO REPORT",0)</f>
        <v>11</v>
      </c>
      <c r="AE56" s="284" t="str">
        <f>'Active &amp; Renewals'!J96</f>
        <v>NO REPORT</v>
      </c>
      <c r="AF56" s="281" cm="1">
        <f t="array" ref="AF56">_xlfn.IFS(AE56="SUPERIOR",11,AE56="EXCELLENT",9,AE56="GOOD",7,AE56="LATE",5,AE56="NO GRADE",3,AE56="NA",2,AE56="NO REPORT",0)</f>
        <v>0</v>
      </c>
      <c r="AG56" s="282" t="str">
        <f>'Active &amp; Renewals'!L96</f>
        <v>NO REPORT</v>
      </c>
      <c r="AH56" s="281" cm="1">
        <f t="array" ref="AH56">_xlfn.IFS(AG56="SUPERIOR",11,AG56="EXCELLENT",9,AG56="GOOD",7,AG56="LATE",5,AG56="NO GRADE",3,AG56="NA",2,AG56="NO REPORT",0)</f>
        <v>0</v>
      </c>
      <c r="AI56" s="252">
        <f t="shared" si="69"/>
        <v>22</v>
      </c>
      <c r="AJ56" s="188" t="s">
        <v>663</v>
      </c>
      <c r="AK56" s="252" cm="1">
        <f t="array" ref="AK56">_xlfn.IFS(AJ56="8/8",11,AJ56="7/8",7,AJ56="6/8",6,AJ56="5/8",5,AJ56="4/8",4,AJ56="3/8",3,AJ56="2/8",2,AJ56="1/8",1,AJ56="0/8",0,TRUE,0)</f>
        <v>0</v>
      </c>
      <c r="AL56" s="189">
        <v>3</v>
      </c>
      <c r="AM56" s="300" cm="1">
        <f t="array" ref="AM56">_xlfn.IFS(AL56&gt;6,11,AL56&gt;=4,10,AL56&gt;=2,9,AL56=1,8,TRUE,0)</f>
        <v>9</v>
      </c>
      <c r="AN56" s="184">
        <f>Donations!E38</f>
        <v>800</v>
      </c>
      <c r="AO56" s="300" cm="1">
        <f t="array" ref="AO56">_xlfn.IFS(AN56&gt;125,11,AN56&gt;=116,10,AN56&gt;=101,9,AN56=100,8,AN56&gt;=86,7,AN56&gt;=71,6,AN56&gt;=61,5,AN56&gt;=51,4,AN56&gt;=41,3,AN56&gt;=26,2,AN56&gt;=1,1,TRUE,0)</f>
        <v>11</v>
      </c>
      <c r="AP56" s="190">
        <f>Donations!F38</f>
        <v>0</v>
      </c>
      <c r="AQ56" s="300" cm="1">
        <f t="array" ref="AQ56">_xlfn.IFS(AP56&gt;600,11,AP56&gt;=551,10,AP56&gt;=501,9,AP56=500,8,AP56&gt;=326,7,AP56&gt;=251,6,AP56&gt;=201,5,AP56&gt;=151,4,AP56&gt;=101,3,AP56&gt;=76,2,AP56&gt;=1,1,TRUE,0)</f>
        <v>0</v>
      </c>
      <c r="AR56" s="350"/>
      <c r="AS56" s="350"/>
      <c r="AT56" s="350"/>
      <c r="AU56" s="353"/>
      <c r="AV56" s="191">
        <v>1</v>
      </c>
      <c r="AW56" s="187">
        <v>5</v>
      </c>
      <c r="AX56" s="187">
        <v>6</v>
      </c>
      <c r="AY56" s="252">
        <f t="shared" si="70"/>
        <v>12</v>
      </c>
      <c r="AZ56" s="192"/>
      <c r="BA56" s="181"/>
      <c r="BB56" s="193">
        <v>0</v>
      </c>
      <c r="BC56" s="252" cm="1">
        <f t="array" ref="BC56">_xlfn.IFS(BB56=0,11,TRUE,0)</f>
        <v>11</v>
      </c>
      <c r="BD56" s="183">
        <v>0</v>
      </c>
      <c r="BE56" s="183">
        <v>4</v>
      </c>
      <c r="BF56" s="183">
        <v>3</v>
      </c>
      <c r="BG56" s="252">
        <f t="shared" si="71"/>
        <v>7</v>
      </c>
      <c r="BH56" s="183">
        <v>3</v>
      </c>
      <c r="BI56" s="183">
        <v>3</v>
      </c>
      <c r="BJ56" s="183">
        <v>3</v>
      </c>
      <c r="BK56" s="252">
        <f t="shared" si="72"/>
        <v>9</v>
      </c>
    </row>
    <row r="57" spans="1:63" ht="15.75" x14ac:dyDescent="0.25">
      <c r="A57" s="180" t="s">
        <v>71</v>
      </c>
      <c r="B57" s="252">
        <f t="shared" si="60"/>
        <v>100</v>
      </c>
      <c r="C57" s="253">
        <f t="shared" si="73"/>
        <v>8</v>
      </c>
      <c r="D57" s="13">
        <f>'Lodge Rank by District'!E42</f>
        <v>85</v>
      </c>
      <c r="E57" s="9" t="str">
        <f>'Active &amp; Renewals'!C101</f>
        <v>877</v>
      </c>
      <c r="F57" s="9" t="str">
        <f>'Active &amp; Renewals'!D101</f>
        <v>887</v>
      </c>
      <c r="G57" s="2">
        <f t="shared" si="61"/>
        <v>10</v>
      </c>
      <c r="H57" s="252" cm="1">
        <f t="array" ref="H57">_xlfn.IFS(G57&gt;20,11,G57&gt;11,10,G57&gt;2,9,G57&gt;0,8,G57&gt;-6,7,G57&gt;-11,6,G57&gt;-16,5,G57&gt;-21,4,G57&gt;-26,3,G57&gt;-31,2,G57&gt;-36,1,TRUE,0)</f>
        <v>9</v>
      </c>
      <c r="I57" s="113" t="str">
        <f>'Active &amp; Renewals'!E101</f>
        <v>86.19</v>
      </c>
      <c r="J57" s="252" cm="1">
        <f t="array" ref="J57">_xlfn.IFS(VALUE(I57)&gt;=90.5,11,VALUE(I57)&gt;=85.5,10,VALUE(I57)&gt;=80.5,9,VALUE(I57)&gt;=75.5,8,VALUE(I57)&gt;=74.5,7,VALUE(I57)&gt;=70.5,6,VALUE(I57)&gt;=64.5,5,VALUE(I57)&gt;=60.5,4,VALUE(I57)&gt;=54.5,3,VALUE(I57)&gt;=50.5,2,VALUE(I57)&gt;=44.5,1,TRUE,0)</f>
        <v>10</v>
      </c>
      <c r="K57" s="195">
        <v>1734</v>
      </c>
      <c r="L57" s="195">
        <f>Donations!B58</f>
        <v>1338</v>
      </c>
      <c r="M57" s="267">
        <f t="shared" si="62"/>
        <v>-396</v>
      </c>
      <c r="N57" s="268">
        <f t="shared" si="63"/>
        <v>0.77162629757785473</v>
      </c>
      <c r="O57" s="252" cm="1">
        <f t="array" ref="O57">_xlfn.IFS(N57&gt;=115.5%,11,N57&gt;=110.5%,10,N57&gt;=100.5%,9,N57&gt;=99.5%,8,N57&gt;=89.5%,7,N57&gt;=75.5%,6,N57&gt;=60.5%,5,N57&gt;=45.5%,4,N57&gt;=30.5%,3,N57&gt;=15.5%,2,N57&gt;=0.5%,1,TRUE,0)</f>
        <v>6</v>
      </c>
      <c r="P57" s="12">
        <f t="shared" si="64"/>
        <v>1.5256556442417333</v>
      </c>
      <c r="Q57" s="252" cm="1">
        <f t="array" ref="Q57">_xlfn.IFS(P57&gt;10,11,P57&gt;=8.01,10,P57&gt;=6.01,9,P57&gt;=4.01,8,P57=4,7,P57&gt;=3.01,6,P57&gt;=2.01,5,P57&gt;=1.51,4,P57&gt;=1.01,3,P57&gt;=0.51,2,P57&gt;=0.01,1,TRUE,0)</f>
        <v>4</v>
      </c>
      <c r="R57" s="269">
        <v>2631</v>
      </c>
      <c r="S57" s="184">
        <f>Donations!C58</f>
        <v>2631</v>
      </c>
      <c r="T57" s="279">
        <f t="shared" si="65"/>
        <v>3</v>
      </c>
      <c r="U57" s="10">
        <f t="shared" si="66"/>
        <v>0</v>
      </c>
      <c r="V57" s="252" cm="1">
        <f t="array" ref="V57">_xlfn.IFS(T57&gt;=120%,11,T57&gt;=110.5%,10,T57&gt;=100.5%,9,T57&gt;99.9%,8,T57&gt;=85.5%,7,T57&gt;=72.5%,6,T57&gt;=65.5%,5,T57&gt;=55.5%,4,T57&gt;=45.5%,3,T57&gt;=35.5%,2,T57&gt;=20.5%,1,TRUE,0)</f>
        <v>11</v>
      </c>
      <c r="W57" s="269">
        <f t="shared" si="67"/>
        <v>131.54999999999998</v>
      </c>
      <c r="X57" s="184">
        <f>Donations!D58</f>
        <v>150</v>
      </c>
      <c r="Y57" s="269">
        <f t="shared" si="68"/>
        <v>0.17103762827822122</v>
      </c>
      <c r="Z57" s="252" cm="1">
        <f t="array" ref="Z57">_xlfn.IFS(Y57&gt;=0.26,11,Y57&gt;=0.21,10,Y57&gt;=0.16,9,Y57=0.15,8,Y57=0.14,7,Y57=0.13,6,Y57&gt;=0.11,5,Y57&gt;=0.09,4,Y57&gt;=0.07,3,Y57&gt;=0.04,2,Y57&gt;=0.01,1,TRUE,0)</f>
        <v>9</v>
      </c>
      <c r="AA57" s="8" t="str">
        <f>'Active &amp; Renewals'!F101</f>
        <v>EXCELLENT</v>
      </c>
      <c r="AB57" s="281" cm="1">
        <f t="array" ref="AB57">_xlfn.IFS(AA57="SUPERIOR",11,AA57="EXCELLENT",9,AA57="GOOD",7,AA57="LATE",5,AA57="NO GRADE",3,AA57="NA",2,AA57="NO REPORT",0)</f>
        <v>9</v>
      </c>
      <c r="AC57" s="8" t="str">
        <f>'Active &amp; Renewals'!H101</f>
        <v>EXCELLENT</v>
      </c>
      <c r="AD57" s="281" cm="1">
        <f t="array" ref="AD57">_xlfn.IFS(AC57="SUPERIOR",11,AC57="EXCELLENT",9,AC57="GOOD",7,AC57="LATE",5,AC57="NO GRADE",3,AC57="NA",2,AC57="NO REPORT",0)</f>
        <v>9</v>
      </c>
      <c r="AE57" s="284" t="str">
        <f>'Active &amp; Renewals'!J101</f>
        <v>NO REPORT</v>
      </c>
      <c r="AF57" s="281" cm="1">
        <f t="array" ref="AF57">_xlfn.IFS(AE57="SUPERIOR",11,AE57="EXCELLENT",9,AE57="GOOD",7,AE57="LATE",5,AE57="NO GRADE",3,AE57="NA",2,AE57="NO REPORT",0)</f>
        <v>0</v>
      </c>
      <c r="AG57" s="282" t="str">
        <f>'Active &amp; Renewals'!L101</f>
        <v>NO REPORT</v>
      </c>
      <c r="AH57" s="281" cm="1">
        <f t="array" ref="AH57">_xlfn.IFS(AG57="SUPERIOR",11,AG57="EXCELLENT",9,AG57="GOOD",7,AG57="LATE",5,AG57="NO GRADE",3,AG57="NA",2,AG57="NO REPORT",0)</f>
        <v>0</v>
      </c>
      <c r="AI57" s="252">
        <f t="shared" si="69"/>
        <v>18</v>
      </c>
      <c r="AJ57" s="188" t="s">
        <v>653</v>
      </c>
      <c r="AK57" s="252" cm="1">
        <f t="array" ref="AK57">_xlfn.IFS(AJ57="8/8",11,AJ57="7/8",7,AJ57="6/8",6,AJ57="5/8",5,AJ57="4/8",4,AJ57="3/8",3,AJ57="2/8",2,AJ57="1/8",1,AJ57="0/8",0,TRUE,0)</f>
        <v>6</v>
      </c>
      <c r="AL57" s="189">
        <v>0</v>
      </c>
      <c r="AM57" s="300" cm="1">
        <f t="array" ref="AM57">_xlfn.IFS(AL57&gt;6,11,AL57&gt;=4,10,AL57&gt;=2,9,AL57=1,8,TRUE,0)</f>
        <v>0</v>
      </c>
      <c r="AN57" s="184">
        <f>Donations!E58</f>
        <v>0</v>
      </c>
      <c r="AO57" s="300" cm="1">
        <f t="array" ref="AO57">_xlfn.IFS(AN57&gt;125,11,AN57&gt;=116,10,AN57&gt;=101,9,AN57=100,8,AN57&gt;=86,7,AN57&gt;=71,6,AN57&gt;=61,5,AN57&gt;=51,4,AN57&gt;=41,3,AN57&gt;=26,2,AN57&gt;=1,1,TRUE,0)</f>
        <v>0</v>
      </c>
      <c r="AP57" s="190">
        <f>Donations!F58</f>
        <v>0</v>
      </c>
      <c r="AQ57" s="300" cm="1">
        <f t="array" ref="AQ57">_xlfn.IFS(AP57&gt;600,11,AP57&gt;=551,10,AP57&gt;=501,9,AP57=500,8,AP57&gt;=326,7,AP57&gt;=251,6,AP57&gt;=201,5,AP57&gt;=151,4,AP57&gt;=101,3,AP57&gt;=76,2,AP57&gt;=1,1,TRUE,0)</f>
        <v>0</v>
      </c>
      <c r="AR57" s="350"/>
      <c r="AS57" s="350"/>
      <c r="AT57" s="350"/>
      <c r="AU57" s="353"/>
      <c r="AV57" s="191">
        <v>3</v>
      </c>
      <c r="AW57" s="187">
        <v>1</v>
      </c>
      <c r="AX57" s="187">
        <v>5</v>
      </c>
      <c r="AY57" s="252">
        <f t="shared" si="70"/>
        <v>9</v>
      </c>
      <c r="AZ57" s="192"/>
      <c r="BA57" s="181"/>
      <c r="BB57" s="193">
        <v>0</v>
      </c>
      <c r="BC57" s="252" cm="1">
        <f t="array" ref="BC57">_xlfn.IFS(BB57=0,11,TRUE,0)</f>
        <v>11</v>
      </c>
      <c r="BD57" s="183">
        <v>0</v>
      </c>
      <c r="BE57" s="183">
        <v>0</v>
      </c>
      <c r="BF57" s="183">
        <v>2</v>
      </c>
      <c r="BG57" s="252">
        <f t="shared" si="71"/>
        <v>2</v>
      </c>
      <c r="BH57" s="183">
        <v>2</v>
      </c>
      <c r="BI57" s="183">
        <v>0</v>
      </c>
      <c r="BJ57" s="183">
        <v>3</v>
      </c>
      <c r="BK57" s="252">
        <f t="shared" si="72"/>
        <v>5</v>
      </c>
    </row>
    <row r="58" spans="1:63" ht="15.75" x14ac:dyDescent="0.25">
      <c r="A58" s="180" t="s">
        <v>70</v>
      </c>
      <c r="B58" s="252">
        <f t="shared" si="60"/>
        <v>163</v>
      </c>
      <c r="C58" s="253">
        <f t="shared" si="73"/>
        <v>1</v>
      </c>
      <c r="D58" s="13">
        <f>'Lodge Rank by District'!E43</f>
        <v>8</v>
      </c>
      <c r="E58" s="9" t="str">
        <f>'Active &amp; Renewals'!C103</f>
        <v>724</v>
      </c>
      <c r="F58" s="9" t="str">
        <f>'Active &amp; Renewals'!D103</f>
        <v>1110</v>
      </c>
      <c r="G58" s="2">
        <f t="shared" si="61"/>
        <v>386</v>
      </c>
      <c r="H58" s="252" cm="1">
        <f t="array" ref="H58">_xlfn.IFS(G58&gt;20,11,G58&gt;11,10,G58&gt;2,9,G58&gt;0,8,G58&gt;-6,7,G58&gt;-11,6,G58&gt;-16,5,G58&gt;-21,4,G58&gt;-26,3,G58&gt;-31,2,G58&gt;-36,1,TRUE,0)</f>
        <v>11</v>
      </c>
      <c r="I58" s="113" t="str">
        <f>'Active &amp; Renewals'!E103</f>
        <v>88.40</v>
      </c>
      <c r="J58" s="252" cm="1">
        <f t="array" ref="J58">_xlfn.IFS(VALUE(I58)&gt;=90.5,11,VALUE(I58)&gt;=85.5,10,VALUE(I58)&gt;=80.5,9,VALUE(I58)&gt;=75.5,8,VALUE(I58)&gt;=74.5,7,VALUE(I58)&gt;=70.5,6,VALUE(I58)&gt;=64.5,5,VALUE(I58)&gt;=60.5,4,VALUE(I58)&gt;=54.5,3,VALUE(I58)&gt;=50.5,2,VALUE(I58)&gt;=44.5,1,TRUE,0)</f>
        <v>10</v>
      </c>
      <c r="K58" s="195">
        <v>9265.6</v>
      </c>
      <c r="L58" s="195">
        <f>Donations!B82</f>
        <v>13830.68</v>
      </c>
      <c r="M58" s="267">
        <f t="shared" si="62"/>
        <v>4565.08</v>
      </c>
      <c r="N58" s="268">
        <f t="shared" si="63"/>
        <v>1.4926912450353997</v>
      </c>
      <c r="O58" s="252" cm="1">
        <f t="array" ref="O58">_xlfn.IFS(N58&gt;=115.5%,11,N58&gt;=110.5%,10,N58&gt;=100.5%,9,N58&gt;=99.5%,8,N58&gt;=89.5%,7,N58&gt;=75.5%,6,N58&gt;=60.5%,5,N58&gt;=45.5%,4,N58&gt;=30.5%,3,N58&gt;=15.5%,2,N58&gt;=0.5%,1,TRUE,0)</f>
        <v>11</v>
      </c>
      <c r="P58" s="12">
        <f t="shared" si="64"/>
        <v>19.103149171270719</v>
      </c>
      <c r="Q58" s="252" cm="1">
        <f t="array" ref="Q58">_xlfn.IFS(P58&gt;10,11,P58&gt;=8.01,10,P58&gt;=6.01,9,P58&gt;=4.01,8,P58=4,7,P58&gt;=3.01,6,P58&gt;=2.01,5,P58&gt;=1.51,4,P58&gt;=1.01,3,P58&gt;=0.51,2,P58&gt;=0.01,1,TRUE,0)</f>
        <v>11</v>
      </c>
      <c r="R58" s="269">
        <v>2172</v>
      </c>
      <c r="S58" s="184">
        <f>Donations!C82</f>
        <v>2200</v>
      </c>
      <c r="T58" s="279">
        <f t="shared" si="65"/>
        <v>3.0386740331491713</v>
      </c>
      <c r="U58" s="10">
        <f t="shared" si="66"/>
        <v>28</v>
      </c>
      <c r="V58" s="252" cm="1">
        <f t="array" ref="V58">_xlfn.IFS(T58&gt;=120%,11,T58&gt;=110.5%,10,T58&gt;=100.5%,9,T58&gt;99.9%,8,T58&gt;=85.5%,7,T58&gt;=72.5%,6,T58&gt;=65.5%,5,T58&gt;=55.5%,4,T58&gt;=45.5%,3,T58&gt;=35.5%,2,T58&gt;=20.5%,1,TRUE,0)</f>
        <v>11</v>
      </c>
      <c r="W58" s="269">
        <f t="shared" si="67"/>
        <v>108.6</v>
      </c>
      <c r="X58" s="184">
        <f>Donations!D82</f>
        <v>1000</v>
      </c>
      <c r="Y58" s="269">
        <f t="shared" si="68"/>
        <v>1.3812154696132597</v>
      </c>
      <c r="Z58" s="252" cm="1">
        <f t="array" ref="Z58">_xlfn.IFS(Y58&gt;=0.26,11,Y58&gt;=0.21,10,Y58&gt;=0.16,9,Y58=0.15,8,Y58=0.14,7,Y58=0.13,6,Y58&gt;=0.11,5,Y58&gt;=0.09,4,Y58&gt;=0.07,3,Y58&gt;=0.04,2,Y58&gt;=0.01,1,TRUE,0)</f>
        <v>11</v>
      </c>
      <c r="AA58" s="8" t="str">
        <f>'Active &amp; Renewals'!F103</f>
        <v>SUPERIOR</v>
      </c>
      <c r="AB58" s="281" cm="1">
        <f t="array" ref="AB58">_xlfn.IFS(AA58="SUPERIOR",11,AA58="EXCELLENT",9,AA58="GOOD",7,AA58="LATE",5,AA58="NO GRADE",3,AA58="NA",2,AA58="NO REPORT",0)</f>
        <v>11</v>
      </c>
      <c r="AC58" s="8" t="str">
        <f>'Active &amp; Renewals'!H103</f>
        <v>NO GRADE</v>
      </c>
      <c r="AD58" s="281" cm="1">
        <f t="array" ref="AD58">_xlfn.IFS(AC58="SUPERIOR",11,AC58="EXCELLENT",9,AC58="GOOD",7,AC58="LATE",5,AC58="NO GRADE",3,AC58="NA",2,AC58="NO REPORT",0)</f>
        <v>3</v>
      </c>
      <c r="AE58" s="284" t="str">
        <f>'Active &amp; Renewals'!J103</f>
        <v>NO REPORT</v>
      </c>
      <c r="AF58" s="281" cm="1">
        <f t="array" ref="AF58">_xlfn.IFS(AE58="SUPERIOR",11,AE58="EXCELLENT",9,AE58="GOOD",7,AE58="LATE",5,AE58="NO GRADE",3,AE58="NA",2,AE58="NO REPORT",0)</f>
        <v>0</v>
      </c>
      <c r="AG58" s="282" t="str">
        <f>'Active &amp; Renewals'!L103</f>
        <v>NO REPORT</v>
      </c>
      <c r="AH58" s="281" cm="1">
        <f t="array" ref="AH58">_xlfn.IFS(AG58="SUPERIOR",11,AG58="EXCELLENT",9,AG58="GOOD",7,AG58="LATE",5,AG58="NO GRADE",3,AG58="NA",2,AG58="NO REPORT",0)</f>
        <v>0</v>
      </c>
      <c r="AI58" s="252">
        <f t="shared" si="69"/>
        <v>14</v>
      </c>
      <c r="AJ58" s="188" t="s">
        <v>656</v>
      </c>
      <c r="AK58" s="252" cm="1">
        <f t="array" ref="AK58">_xlfn.IFS(AJ58="8/8",11,AJ58="7/8",7,AJ58="6/8",6,AJ58="5/8",5,AJ58="4/8",4,AJ58="3/8",3,AJ58="2/8",2,AJ58="1/8",1,AJ58="0/8",0,TRUE,0)</f>
        <v>7</v>
      </c>
      <c r="AL58" s="189">
        <v>3</v>
      </c>
      <c r="AM58" s="300" cm="1">
        <f t="array" ref="AM58">_xlfn.IFS(AL58&gt;6,11,AL58&gt;=4,10,AL58&gt;=2,9,AL58=1,8,TRUE,0)</f>
        <v>9</v>
      </c>
      <c r="AN58" s="184">
        <f>Donations!E82</f>
        <v>150</v>
      </c>
      <c r="AO58" s="300" cm="1">
        <f t="array" ref="AO58">_xlfn.IFS(AN58&gt;125,11,AN58&gt;=116,10,AN58&gt;=101,9,AN58=100,8,AN58&gt;=86,7,AN58&gt;=71,6,AN58&gt;=61,5,AN58&gt;=51,4,AN58&gt;=41,3,AN58&gt;=26,2,AN58&gt;=1,1,TRUE,0)</f>
        <v>11</v>
      </c>
      <c r="AP58" s="190">
        <f>Donations!F82</f>
        <v>1000</v>
      </c>
      <c r="AQ58" s="300" cm="1">
        <f t="array" ref="AQ58">_xlfn.IFS(AP58&gt;600,11,AP58&gt;=551,10,AP58&gt;=501,9,AP58=500,8,AP58&gt;=326,7,AP58&gt;=251,6,AP58&gt;=201,5,AP58&gt;=151,4,AP58&gt;=101,3,AP58&gt;=76,2,AP58&gt;=1,1,TRUE,0)</f>
        <v>11</v>
      </c>
      <c r="AR58" s="351"/>
      <c r="AS58" s="351"/>
      <c r="AT58" s="351"/>
      <c r="AU58" s="354"/>
      <c r="AV58" s="191">
        <v>5</v>
      </c>
      <c r="AW58" s="187">
        <v>5</v>
      </c>
      <c r="AX58" s="187">
        <v>5</v>
      </c>
      <c r="AY58" s="252">
        <f t="shared" si="70"/>
        <v>15</v>
      </c>
      <c r="AZ58" s="192"/>
      <c r="BA58" s="181"/>
      <c r="BB58" s="193">
        <v>0</v>
      </c>
      <c r="BC58" s="252" cm="1">
        <f t="array" ref="BC58">_xlfn.IFS(BB58=0,11,TRUE,0)</f>
        <v>11</v>
      </c>
      <c r="BD58" s="183">
        <v>4</v>
      </c>
      <c r="BE58" s="183">
        <v>4</v>
      </c>
      <c r="BF58" s="183">
        <v>4</v>
      </c>
      <c r="BG58" s="252">
        <f t="shared" si="71"/>
        <v>12</v>
      </c>
      <c r="BH58" s="183">
        <v>2</v>
      </c>
      <c r="BI58" s="183">
        <v>3</v>
      </c>
      <c r="BJ58" s="183">
        <v>3</v>
      </c>
      <c r="BK58" s="252">
        <f t="shared" si="72"/>
        <v>8</v>
      </c>
    </row>
    <row r="59" spans="1:63" s="228" customFormat="1" ht="18.75" x14ac:dyDescent="0.25">
      <c r="A59" s="196" t="s">
        <v>1</v>
      </c>
      <c r="B59" s="254">
        <f>SUM(B50:B58)/9</f>
        <v>139.55555555555554</v>
      </c>
      <c r="C59" s="2"/>
      <c r="D59" s="253">
        <f>'District '!F22</f>
        <v>2</v>
      </c>
      <c r="E59" s="259"/>
      <c r="F59" s="259"/>
      <c r="G59" s="1"/>
      <c r="H59" s="1"/>
      <c r="I59" s="307"/>
      <c r="J59" s="1"/>
      <c r="K59" s="210"/>
      <c r="L59" s="226">
        <f>SUM(L50:L58)</f>
        <v>69973.509999999995</v>
      </c>
      <c r="M59" s="4"/>
      <c r="N59" s="97"/>
      <c r="O59" s="1"/>
      <c r="P59" s="3"/>
      <c r="Q59" s="1"/>
      <c r="R59" s="267" t="s">
        <v>0</v>
      </c>
      <c r="S59" s="202"/>
      <c r="T59" s="97"/>
      <c r="U59" s="1"/>
      <c r="V59" s="1"/>
      <c r="W59" s="1"/>
      <c r="X59" s="285"/>
      <c r="Y59" s="269"/>
      <c r="Z59" s="1"/>
      <c r="AA59" s="2"/>
      <c r="AB59" s="2"/>
      <c r="AC59" s="2"/>
      <c r="AD59" s="2"/>
      <c r="AE59" s="7"/>
      <c r="AF59" s="18"/>
      <c r="AG59" s="7"/>
      <c r="AH59" s="2"/>
      <c r="AI59" s="1"/>
      <c r="AJ59" s="204"/>
      <c r="AK59" s="1"/>
      <c r="AL59" s="197"/>
      <c r="AM59" s="1"/>
      <c r="AN59" s="205"/>
      <c r="AO59" s="1"/>
      <c r="AP59" s="206"/>
      <c r="AQ59" s="1"/>
      <c r="AR59" s="207"/>
      <c r="AS59" s="207"/>
      <c r="AT59" s="207"/>
      <c r="AU59" s="275"/>
      <c r="AV59" s="212"/>
      <c r="AW59" s="212"/>
      <c r="AX59" s="209"/>
      <c r="AY59" s="1"/>
      <c r="AZ59" s="204"/>
      <c r="BA59" s="197"/>
      <c r="BB59" s="210"/>
      <c r="BC59" s="1"/>
      <c r="BD59" s="197"/>
      <c r="BE59" s="197"/>
      <c r="BF59" s="197"/>
      <c r="BG59" s="1"/>
      <c r="BH59" s="197"/>
      <c r="BI59" s="197"/>
      <c r="BJ59" s="211"/>
      <c r="BK59" s="1"/>
    </row>
    <row r="60" spans="1:63" ht="18.75" x14ac:dyDescent="0.25">
      <c r="A60" s="229"/>
      <c r="B60" s="17"/>
      <c r="C60" s="17"/>
      <c r="D60" s="22"/>
      <c r="E60" s="27"/>
      <c r="F60" s="27"/>
      <c r="G60" s="17"/>
      <c r="H60" s="17"/>
      <c r="I60" s="309"/>
      <c r="J60" s="17"/>
      <c r="K60" s="231"/>
      <c r="L60" s="231"/>
      <c r="M60" s="26"/>
      <c r="N60" s="98"/>
      <c r="O60" s="17"/>
      <c r="P60" s="25"/>
      <c r="Q60" s="17"/>
      <c r="R60" s="276" t="s">
        <v>0</v>
      </c>
      <c r="S60" s="232"/>
      <c r="T60" s="98"/>
      <c r="U60" s="17"/>
      <c r="V60" s="17"/>
      <c r="W60" s="17"/>
      <c r="X60" s="292"/>
      <c r="Y60" s="293"/>
      <c r="Z60" s="17"/>
      <c r="AA60" s="22"/>
      <c r="AB60" s="22"/>
      <c r="AC60" s="22"/>
      <c r="AD60" s="22"/>
      <c r="AE60" s="133"/>
      <c r="AF60" s="23"/>
      <c r="AG60" s="133"/>
      <c r="AH60" s="22"/>
      <c r="AI60" s="17"/>
      <c r="AJ60" s="233"/>
      <c r="AK60" s="17"/>
      <c r="AL60" s="217"/>
      <c r="AM60" s="17"/>
      <c r="AN60" s="234"/>
      <c r="AO60" s="17"/>
      <c r="AP60" s="235"/>
      <c r="AQ60" s="17"/>
      <c r="AR60" s="236"/>
      <c r="AS60" s="236"/>
      <c r="AT60" s="236"/>
      <c r="AU60" s="17"/>
      <c r="AV60" s="225"/>
      <c r="AW60" s="225"/>
      <c r="AX60" s="236"/>
      <c r="AY60" s="17"/>
      <c r="AZ60" s="233"/>
      <c r="BA60" s="217"/>
      <c r="BB60" s="231"/>
      <c r="BC60" s="17"/>
      <c r="BD60" s="217"/>
      <c r="BE60" s="217"/>
      <c r="BF60" s="217"/>
      <c r="BG60" s="17"/>
      <c r="BH60" s="217"/>
      <c r="BI60" s="217"/>
      <c r="BJ60" s="217"/>
      <c r="BK60" s="17"/>
    </row>
    <row r="61" spans="1:63" ht="18.75" x14ac:dyDescent="0.25">
      <c r="A61" s="196" t="s">
        <v>69</v>
      </c>
      <c r="B61" s="2"/>
      <c r="C61" s="2"/>
      <c r="D61" s="2"/>
      <c r="E61" s="5"/>
      <c r="F61" s="5"/>
      <c r="G61" s="1"/>
      <c r="H61" s="1"/>
      <c r="I61" s="307"/>
      <c r="J61" s="1"/>
      <c r="K61" s="210"/>
      <c r="L61" s="210"/>
      <c r="M61" s="4"/>
      <c r="N61" s="97"/>
      <c r="O61" s="1"/>
      <c r="P61" s="3"/>
      <c r="Q61" s="1"/>
      <c r="R61" s="267" t="s">
        <v>0</v>
      </c>
      <c r="S61" s="202"/>
      <c r="T61" s="97"/>
      <c r="U61" s="1"/>
      <c r="V61" s="1"/>
      <c r="W61" s="1"/>
      <c r="X61" s="285"/>
      <c r="Y61" s="269"/>
      <c r="Z61" s="1"/>
      <c r="AA61" s="2"/>
      <c r="AB61" s="2"/>
      <c r="AC61" s="2"/>
      <c r="AD61" s="2"/>
      <c r="AE61" s="7"/>
      <c r="AF61" s="18"/>
      <c r="AG61" s="7"/>
      <c r="AH61" s="2"/>
      <c r="AI61" s="1"/>
      <c r="AJ61" s="204"/>
      <c r="AK61" s="1"/>
      <c r="AL61" s="197"/>
      <c r="AM61" s="1"/>
      <c r="AN61" s="205"/>
      <c r="AO61" s="1"/>
      <c r="AP61" s="206"/>
      <c r="AQ61" s="1"/>
      <c r="AR61" s="207"/>
      <c r="AS61" s="207"/>
      <c r="AT61" s="207"/>
      <c r="AU61" s="275"/>
      <c r="AV61" s="212"/>
      <c r="AW61" s="212"/>
      <c r="AX61" s="209"/>
      <c r="AY61" s="1"/>
      <c r="AZ61" s="204"/>
      <c r="BA61" s="197"/>
      <c r="BB61" s="210"/>
      <c r="BC61" s="1"/>
      <c r="BD61" s="197"/>
      <c r="BE61" s="197"/>
      <c r="BF61" s="197"/>
      <c r="BG61" s="1"/>
      <c r="BH61" s="197"/>
      <c r="BI61" s="197"/>
      <c r="BJ61" s="211"/>
      <c r="BK61" s="1"/>
    </row>
    <row r="62" spans="1:63" ht="15.75" x14ac:dyDescent="0.25">
      <c r="A62" s="180" t="s">
        <v>68</v>
      </c>
      <c r="B62" s="252">
        <f t="shared" ref="B62:B68" si="74">+H62+J62+O62+Q62+V62+Z62+AI62+AK62+AM62+AO62+AQ62+AY62+BA62+BC62+BG62+BK62</f>
        <v>136</v>
      </c>
      <c r="C62" s="253">
        <f>RANK(B62,$B$62:$B$68)</f>
        <v>7</v>
      </c>
      <c r="D62" s="260">
        <f>'Lodge Rank by District'!E44</f>
        <v>35</v>
      </c>
      <c r="E62" s="9" t="str">
        <f>'Active &amp; Renewals'!C20</f>
        <v>596</v>
      </c>
      <c r="F62" s="9" t="str">
        <f>'Active &amp; Renewals'!D20</f>
        <v>678</v>
      </c>
      <c r="G62" s="2">
        <f t="shared" ref="G62:G68" si="75">+F62-E62</f>
        <v>82</v>
      </c>
      <c r="H62" s="252" cm="1">
        <f t="array" ref="H62">_xlfn.IFS(G62&gt;20,11,G62&gt;11,10,G62&gt;2,9,G62&gt;0,8,G62&gt;-6,7,G62&gt;-11,6,G62&gt;-16,5,G62&gt;-21,4,G62&gt;-26,3,G62&gt;-31,2,G62&gt;-36,1,TRUE,0)</f>
        <v>11</v>
      </c>
      <c r="I62" s="113" t="str">
        <f>'Active &amp; Renewals'!E20</f>
        <v>85.04</v>
      </c>
      <c r="J62" s="252" cm="1">
        <f t="array" ref="J62">_xlfn.IFS(VALUE(I62)&gt;=90.5,11,VALUE(I62)&gt;=85.5,10,VALUE(I62)&gt;=80.5,9,VALUE(I62)&gt;=75.5,8,VALUE(I62)&gt;=74.5,7,VALUE(I62)&gt;=70.5,6,VALUE(I62)&gt;=64.5,5,VALUE(I62)&gt;=60.5,4,VALUE(I62)&gt;=54.5,3,VALUE(I62)&gt;=50.5,2,VALUE(I62)&gt;=44.5,1,TRUE,0)</f>
        <v>9</v>
      </c>
      <c r="K62" s="195">
        <v>2591</v>
      </c>
      <c r="L62" s="195">
        <f>Donations!B52</f>
        <v>2745</v>
      </c>
      <c r="M62" s="267">
        <f t="shared" ref="M62:M68" si="76">+L62-K62</f>
        <v>154</v>
      </c>
      <c r="N62" s="268">
        <f t="shared" ref="N62:N68" si="77">+L62/K62</f>
        <v>1.059436510999614</v>
      </c>
      <c r="O62" s="252" cm="1">
        <f t="array" ref="O62">_xlfn.IFS(N62&gt;=115.5%,11,N62&gt;=110.5%,10,N62&gt;=100.5%,9,N62&gt;=99.5%,8,N62&gt;=89.5%,7,N62&gt;=75.5%,6,N62&gt;=60.5%,5,N62&gt;=45.5%,4,N62&gt;=30.5%,3,N62&gt;=15.5%,2,N62&gt;=0.5%,1,TRUE,0)</f>
        <v>9</v>
      </c>
      <c r="P62" s="12">
        <f t="shared" ref="P62:P68" si="78">+L62/E62</f>
        <v>4.6057046979865772</v>
      </c>
      <c r="Q62" s="252" cm="1">
        <f t="array" ref="Q62">_xlfn.IFS(P62&gt;10,11,P62&gt;=8.01,10,P62&gt;=6.01,9,P62&gt;=4.01,8,P62=4,7,P62&gt;=3.01,6,P62&gt;=2.01,5,P62&gt;=1.51,4,P62&gt;=1.01,3,P62&gt;=0.51,2,P62&gt;=0.01,1,TRUE,0)</f>
        <v>8</v>
      </c>
      <c r="R62" s="269">
        <v>1788</v>
      </c>
      <c r="S62" s="184">
        <f>Donations!C52</f>
        <v>621</v>
      </c>
      <c r="T62" s="279">
        <f t="shared" ref="T62:T68" si="79">+S62/(R62/3)</f>
        <v>1.0419463087248322</v>
      </c>
      <c r="U62" s="10">
        <f t="shared" ref="U62:U68" si="80">+S62-R62</f>
        <v>-1167</v>
      </c>
      <c r="V62" s="252" cm="1">
        <f t="array" ref="V62">_xlfn.IFS(T62&gt;=120%,11,T62&gt;=110.5%,10,T62&gt;=100.5%,9,T62&gt;99.9%,8,T62&gt;=85.5%,7,T62&gt;=72.5%,6,T62&gt;=65.5%,5,T62&gt;=55.5%,4,T62&gt;=45.5%,3,T62&gt;=35.5%,2,T62&gt;=20.5%,1,TRUE,0)</f>
        <v>9</v>
      </c>
      <c r="W62" s="269">
        <f t="shared" ref="W62:W68" si="81">E62*0.15</f>
        <v>89.399999999999991</v>
      </c>
      <c r="X62" s="184">
        <f>Donations!D52</f>
        <v>300</v>
      </c>
      <c r="Y62" s="269">
        <f t="shared" ref="Y62:Y68" si="82">+X62/E62</f>
        <v>0.50335570469798663</v>
      </c>
      <c r="Z62" s="252" cm="1">
        <f t="array" ref="Z62">_xlfn.IFS(Y62&gt;=0.26,11,Y62&gt;=0.21,10,Y62&gt;=0.16,9,Y62=0.15,8,Y62=0.14,7,Y62=0.13,6,Y62&gt;=0.11,5,Y62&gt;=0.09,4,Y62&gt;=0.07,3,Y62&gt;=0.04,2,Y62&gt;=0.01,1,TRUE,0)</f>
        <v>11</v>
      </c>
      <c r="AA62" s="294" t="str">
        <f>'Active &amp; Renewals'!F20</f>
        <v>SUPERIOR</v>
      </c>
      <c r="AB62" s="281" cm="1">
        <f t="array" ref="AB62">_xlfn.IFS(AA62="SUPERIOR",11,AA62="EXCELLENT",9,AA62="GOOD",7,AA62="LATE",5,AA62="NO GRADE",3,AA62="NA",2,AA62="NO REPORT",0)</f>
        <v>11</v>
      </c>
      <c r="AC62" s="294" t="str">
        <f>'Active &amp; Renewals'!H20</f>
        <v>SUPERIOR</v>
      </c>
      <c r="AD62" s="281" cm="1">
        <f t="array" ref="AD62">_xlfn.IFS(AC62="SUPERIOR",11,AC62="EXCELLENT",9,AC62="GOOD",7,AC62="LATE",5,AC62="NO GRADE",3,AC62="NA",2,AC62="NO REPORT",0)</f>
        <v>11</v>
      </c>
      <c r="AE62" s="284" t="str">
        <f>'Active &amp; Renewals'!J20</f>
        <v>NO REPORT</v>
      </c>
      <c r="AF62" s="281" cm="1">
        <f t="array" ref="AF62">_xlfn.IFS(AE62="SUPERIOR",11,AE62="EXCELLENT",9,AE62="GOOD",7,AE62="LATE",5,AE62="NO GRADE",3,AE62="NA",2,AE62="NO REPORT",0)</f>
        <v>0</v>
      </c>
      <c r="AG62" s="284" t="str">
        <f>'Active &amp; Renewals'!L20</f>
        <v>NO REPORT</v>
      </c>
      <c r="AH62" s="281" cm="1">
        <f t="array" ref="AH62">_xlfn.IFS(AG62="SUPERIOR",11,AG62="EXCELLENT",9,AG62="GOOD",7,AG62="LATE",5,AG62="NO GRADE",3,AG62="NA",2,AG62="NO REPORT",0)</f>
        <v>0</v>
      </c>
      <c r="AI62" s="252">
        <f t="shared" ref="AI62:AI68" si="83">SUM(AB62+AD62+AF62+AH62)</f>
        <v>22</v>
      </c>
      <c r="AJ62" s="188" t="s">
        <v>658</v>
      </c>
      <c r="AK62" s="252" cm="1">
        <f t="array" ref="AK62">_xlfn.IFS(AJ62="8/8",11,AJ62="7/8",7,AJ62="6/8",6,AJ62="5/8",5,AJ62="4/8",4,AJ62="3/8",3,AJ62="2/8",2,AJ62="1/8",1,AJ62="0/8",0,TRUE,0)</f>
        <v>4</v>
      </c>
      <c r="AL62" s="189">
        <v>0</v>
      </c>
      <c r="AM62" s="300" cm="1">
        <f t="array" ref="AM62">_xlfn.IFS(AL62&gt;6,11,AL62&gt;=4,10,AL62&gt;=2,9,AL62=1,8,TRUE,0)</f>
        <v>0</v>
      </c>
      <c r="AN62" s="184">
        <f>Donations!E52</f>
        <v>100</v>
      </c>
      <c r="AO62" s="300" cm="1">
        <f t="array" ref="AO62">_xlfn.IFS(AN62&gt;125,11,AN62&gt;=116,10,AN62&gt;=101,9,AN62=100,8,AN62&gt;=86,7,AN62&gt;=71,6,AN62&gt;=61,5,AN62&gt;=51,4,AN62&gt;=41,3,AN62&gt;=26,2,AN62&gt;=1,1,TRUE,0)</f>
        <v>8</v>
      </c>
      <c r="AP62" s="190">
        <f>Donations!F52</f>
        <v>200</v>
      </c>
      <c r="AQ62" s="300" cm="1">
        <f t="array" ref="AQ62">_xlfn.IFS(AP62&gt;600,11,AP62&gt;=551,10,AP62&gt;=501,9,AP62=500,8,AP62&gt;=326,7,AP62&gt;=251,6,AP62&gt;=201,5,AP62&gt;=151,4,AP62&gt;=101,3,AP62&gt;=76,2,AP62&gt;=1,1,TRUE,0)</f>
        <v>4</v>
      </c>
      <c r="AR62" s="349">
        <v>6</v>
      </c>
      <c r="AS62" s="349">
        <v>6</v>
      </c>
      <c r="AT62" s="349">
        <v>3</v>
      </c>
      <c r="AU62" s="352">
        <f t="shared" ref="AU62" si="84">+AR62+AS62+AT62</f>
        <v>15</v>
      </c>
      <c r="AV62" s="191">
        <v>5</v>
      </c>
      <c r="AW62" s="187">
        <v>3</v>
      </c>
      <c r="AX62" s="187">
        <v>5</v>
      </c>
      <c r="AY62" s="252">
        <f t="shared" ref="AY62:AY68" si="85">+AV62+AW62+AX62</f>
        <v>13</v>
      </c>
      <c r="AZ62" s="183"/>
      <c r="BA62" s="181"/>
      <c r="BB62" s="193">
        <v>0</v>
      </c>
      <c r="BC62" s="252" cm="1">
        <f t="array" ref="BC62">_xlfn.IFS(BB62=0,11,TRUE,0)</f>
        <v>11</v>
      </c>
      <c r="BD62" s="183">
        <v>4</v>
      </c>
      <c r="BE62" s="183">
        <v>0</v>
      </c>
      <c r="BF62" s="183">
        <v>4</v>
      </c>
      <c r="BG62" s="252">
        <f t="shared" ref="BG62:BG68" si="86">SUM(BD62+BE62+BF62)</f>
        <v>8</v>
      </c>
      <c r="BH62" s="183">
        <v>3</v>
      </c>
      <c r="BI62" s="183">
        <v>3</v>
      </c>
      <c r="BJ62" s="183">
        <v>3</v>
      </c>
      <c r="BK62" s="252">
        <f t="shared" ref="BK62:BK68" si="87">SUM(BH62+BI62+BJ62)</f>
        <v>9</v>
      </c>
    </row>
    <row r="63" spans="1:63" ht="15.75" x14ac:dyDescent="0.25">
      <c r="A63" s="180" t="s">
        <v>67</v>
      </c>
      <c r="B63" s="252">
        <f t="shared" si="74"/>
        <v>141</v>
      </c>
      <c r="C63" s="253">
        <f t="shared" ref="C63:C68" si="88">RANK(B63,$B$62:$B$68)</f>
        <v>6</v>
      </c>
      <c r="D63" s="260">
        <f>'Lodge Rank by District'!E45</f>
        <v>30</v>
      </c>
      <c r="E63" s="9" t="str">
        <f>'Active &amp; Renewals'!C27</f>
        <v>885</v>
      </c>
      <c r="F63" s="9" t="str">
        <f>'Active &amp; Renewals'!D27</f>
        <v>836</v>
      </c>
      <c r="G63" s="2">
        <f t="shared" si="75"/>
        <v>-49</v>
      </c>
      <c r="H63" s="252" cm="1">
        <f t="array" ref="H63">_xlfn.IFS(G63&gt;20,11,G63&gt;11,10,G63&gt;2,9,G63&gt;0,8,G63&gt;-6,7,G63&gt;-11,6,G63&gt;-16,5,G63&gt;-21,4,G63&gt;-26,3,G63&gt;-31,2,G63&gt;-36,1,TRUE,0)</f>
        <v>0</v>
      </c>
      <c r="I63" s="113" t="str">
        <f>'Active &amp; Renewals'!E27</f>
        <v>85.33</v>
      </c>
      <c r="J63" s="252" cm="1">
        <f t="array" ref="J63">_xlfn.IFS(VALUE(I63)&gt;=90.5,11,VALUE(I63)&gt;=85.5,10,VALUE(I63)&gt;=80.5,9,VALUE(I63)&gt;=75.5,8,VALUE(I63)&gt;=74.5,7,VALUE(I63)&gt;=70.5,6,VALUE(I63)&gt;=64.5,5,VALUE(I63)&gt;=60.5,4,VALUE(I63)&gt;=54.5,3,VALUE(I63)&gt;=50.5,2,VALUE(I63)&gt;=44.5,1,TRUE,0)</f>
        <v>9</v>
      </c>
      <c r="K63" s="195">
        <v>12535</v>
      </c>
      <c r="L63" s="195">
        <f>Donations!B102</f>
        <v>6940</v>
      </c>
      <c r="M63" s="267">
        <f t="shared" si="76"/>
        <v>-5595</v>
      </c>
      <c r="N63" s="268">
        <f t="shared" si="77"/>
        <v>0.55364978061428005</v>
      </c>
      <c r="O63" s="252" cm="1">
        <f t="array" ref="O63">_xlfn.IFS(N63&gt;=115.5%,11,N63&gt;=110.5%,10,N63&gt;=100.5%,9,N63&gt;=99.5%,8,N63&gt;=89.5%,7,N63&gt;=75.5%,6,N63&gt;=60.5%,5,N63&gt;=45.5%,4,N63&gt;=30.5%,3,N63&gt;=15.5%,2,N63&gt;=0.5%,1,TRUE,0)</f>
        <v>4</v>
      </c>
      <c r="P63" s="12">
        <f t="shared" si="78"/>
        <v>7.8418079096045199</v>
      </c>
      <c r="Q63" s="252" cm="1">
        <f t="array" ref="Q63">_xlfn.IFS(P63&gt;10,11,P63&gt;=8.01,10,P63&gt;=6.01,9,P63&gt;=4.01,8,P63=4,7,P63&gt;=3.01,6,P63&gt;=2.01,5,P63&gt;=1.51,4,P63&gt;=1.01,3,P63&gt;=0.51,2,P63&gt;=0.01,1,TRUE,0)</f>
        <v>9</v>
      </c>
      <c r="R63" s="269">
        <v>2655</v>
      </c>
      <c r="S63" s="184">
        <f>Donations!C102</f>
        <v>2655</v>
      </c>
      <c r="T63" s="279">
        <f t="shared" si="79"/>
        <v>3</v>
      </c>
      <c r="U63" s="10">
        <f t="shared" si="80"/>
        <v>0</v>
      </c>
      <c r="V63" s="252" cm="1">
        <f t="array" ref="V63">_xlfn.IFS(T63&gt;=120%,11,T63&gt;=110.5%,10,T63&gt;=100.5%,9,T63&gt;99.9%,8,T63&gt;=85.5%,7,T63&gt;=72.5%,6,T63&gt;=65.5%,5,T63&gt;=55.5%,4,T63&gt;=45.5%,3,T63&gt;=35.5%,2,T63&gt;=20.5%,1,TRUE,0)</f>
        <v>11</v>
      </c>
      <c r="W63" s="269">
        <f t="shared" si="81"/>
        <v>132.75</v>
      </c>
      <c r="X63" s="184">
        <f>Donations!D102</f>
        <v>300</v>
      </c>
      <c r="Y63" s="269">
        <f t="shared" si="82"/>
        <v>0.33898305084745761</v>
      </c>
      <c r="Z63" s="252" cm="1">
        <f t="array" ref="Z63">_xlfn.IFS(Y63&gt;=0.26,11,Y63&gt;=0.21,10,Y63&gt;=0.16,9,Y63=0.15,8,Y63=0.14,7,Y63=0.13,6,Y63&gt;=0.11,5,Y63&gt;=0.09,4,Y63&gt;=0.07,3,Y63&gt;=0.04,2,Y63&gt;=0.01,1,TRUE,0)</f>
        <v>11</v>
      </c>
      <c r="AA63" s="294" t="str">
        <f>'Active &amp; Renewals'!F27</f>
        <v>EXCELLENT</v>
      </c>
      <c r="AB63" s="281" cm="1">
        <f t="array" ref="AB63">_xlfn.IFS(AA63="SUPERIOR",11,AA63="EXCELLENT",9,AA63="GOOD",7,AA63="LATE",5,AA63="NO GRADE",3,AA63="NA",2,AA63="NO REPORT",0)</f>
        <v>9</v>
      </c>
      <c r="AC63" s="294" t="str">
        <f>'Active &amp; Renewals'!H27</f>
        <v>EXCELLENT</v>
      </c>
      <c r="AD63" s="281" cm="1">
        <f t="array" ref="AD63">_xlfn.IFS(AC63="SUPERIOR",11,AC63="EXCELLENT",9,AC63="GOOD",7,AC63="LATE",5,AC63="NO GRADE",3,AC63="NA",2,AC63="NO REPORT",0)</f>
        <v>9</v>
      </c>
      <c r="AE63" s="284" t="str">
        <f>'Active &amp; Renewals'!J27</f>
        <v>NO REPORT</v>
      </c>
      <c r="AF63" s="281" cm="1">
        <f t="array" ref="AF63">_xlfn.IFS(AE63="SUPERIOR",11,AE63="EXCELLENT",9,AE63="GOOD",7,AE63="LATE",5,AE63="NO GRADE",3,AE63="NA",2,AE63="NO REPORT",0)</f>
        <v>0</v>
      </c>
      <c r="AG63" s="284" t="str">
        <f>'Active &amp; Renewals'!L27</f>
        <v>NO REPORT</v>
      </c>
      <c r="AH63" s="281" cm="1">
        <f t="array" ref="AH63">_xlfn.IFS(AG63="SUPERIOR",11,AG63="EXCELLENT",9,AG63="GOOD",7,AG63="LATE",5,AG63="NO GRADE",3,AG63="NA",2,AG63="NO REPORT",0)</f>
        <v>0</v>
      </c>
      <c r="AI63" s="252">
        <f t="shared" si="83"/>
        <v>18</v>
      </c>
      <c r="AJ63" s="188" t="s">
        <v>660</v>
      </c>
      <c r="AK63" s="252" cm="1">
        <f t="array" ref="AK63">_xlfn.IFS(AJ63="8/8",11,AJ63="7/8",7,AJ63="6/8",6,AJ63="5/8",5,AJ63="4/8",4,AJ63="3/8",3,AJ63="2/8",2,AJ63="1/8",1,AJ63="0/8",0,TRUE,0)</f>
        <v>5</v>
      </c>
      <c r="AL63" s="189">
        <v>2</v>
      </c>
      <c r="AM63" s="300" cm="1">
        <f t="array" ref="AM63">_xlfn.IFS(AL63&gt;6,11,AL63&gt;=4,10,AL63&gt;=2,9,AL63=1,8,TRUE,0)</f>
        <v>9</v>
      </c>
      <c r="AN63" s="184">
        <f>Donations!E102</f>
        <v>200</v>
      </c>
      <c r="AO63" s="300" cm="1">
        <f t="array" ref="AO63">_xlfn.IFS(AN63&gt;125,11,AN63&gt;=116,10,AN63&gt;=101,9,AN63=100,8,AN63&gt;=86,7,AN63&gt;=71,6,AN63&gt;=61,5,AN63&gt;=51,4,AN63&gt;=41,3,AN63&gt;=26,2,AN63&gt;=1,1,TRUE,0)</f>
        <v>11</v>
      </c>
      <c r="AP63" s="190">
        <f>Donations!F102</f>
        <v>701</v>
      </c>
      <c r="AQ63" s="300" cm="1">
        <f t="array" ref="AQ63">_xlfn.IFS(AP63&gt;600,11,AP63&gt;=551,10,AP63&gt;=501,9,AP63=500,8,AP63&gt;=326,7,AP63&gt;=251,6,AP63&gt;=201,5,AP63&gt;=151,4,AP63&gt;=101,3,AP63&gt;=76,2,AP63&gt;=1,1,TRUE,0)</f>
        <v>11</v>
      </c>
      <c r="AR63" s="350"/>
      <c r="AS63" s="350"/>
      <c r="AT63" s="350"/>
      <c r="AU63" s="353"/>
      <c r="AV63" s="191">
        <v>4</v>
      </c>
      <c r="AW63" s="187">
        <v>4</v>
      </c>
      <c r="AX63" s="187">
        <v>6</v>
      </c>
      <c r="AY63" s="252">
        <f t="shared" si="85"/>
        <v>14</v>
      </c>
      <c r="AZ63" s="192"/>
      <c r="BA63" s="181"/>
      <c r="BB63" s="193">
        <v>0</v>
      </c>
      <c r="BC63" s="252" cm="1">
        <f t="array" ref="BC63">_xlfn.IFS(BB63=0,11,TRUE,0)</f>
        <v>11</v>
      </c>
      <c r="BD63" s="183">
        <v>4</v>
      </c>
      <c r="BE63" s="183">
        <v>4</v>
      </c>
      <c r="BF63" s="183">
        <v>4</v>
      </c>
      <c r="BG63" s="252">
        <f t="shared" si="86"/>
        <v>12</v>
      </c>
      <c r="BH63" s="183">
        <v>3</v>
      </c>
      <c r="BI63" s="183">
        <v>0</v>
      </c>
      <c r="BJ63" s="183">
        <v>3</v>
      </c>
      <c r="BK63" s="252">
        <f t="shared" si="87"/>
        <v>6</v>
      </c>
    </row>
    <row r="64" spans="1:63" ht="15.75" x14ac:dyDescent="0.25">
      <c r="A64" s="180" t="s">
        <v>66</v>
      </c>
      <c r="B64" s="252">
        <f t="shared" si="74"/>
        <v>169</v>
      </c>
      <c r="C64" s="253">
        <f t="shared" si="88"/>
        <v>3</v>
      </c>
      <c r="D64" s="260">
        <f>'Lodge Rank by District'!E46</f>
        <v>4</v>
      </c>
      <c r="E64" s="9" t="str">
        <f>'Active &amp; Renewals'!C39</f>
        <v>710</v>
      </c>
      <c r="F64" s="9" t="str">
        <f>'Active &amp; Renewals'!D39</f>
        <v>737</v>
      </c>
      <c r="G64" s="2">
        <f t="shared" si="75"/>
        <v>27</v>
      </c>
      <c r="H64" s="252" cm="1">
        <f t="array" ref="H64">_xlfn.IFS(G64&gt;20,11,G64&gt;11,10,G64&gt;2,9,G64&gt;0,8,G64&gt;-6,7,G64&gt;-11,6,G64&gt;-16,5,G64&gt;-21,4,G64&gt;-26,3,G64&gt;-31,2,G64&gt;-36,1,TRUE,0)</f>
        <v>11</v>
      </c>
      <c r="I64" s="113" t="str">
        <f>'Active &amp; Renewals'!E39</f>
        <v>87.46</v>
      </c>
      <c r="J64" s="252" cm="1">
        <f t="array" ref="J64">_xlfn.IFS(VALUE(I64)&gt;=90.5,11,VALUE(I64)&gt;=85.5,10,VALUE(I64)&gt;=80.5,9,VALUE(I64)&gt;=75.5,8,VALUE(I64)&gt;=74.5,7,VALUE(I64)&gt;=70.5,6,VALUE(I64)&gt;=64.5,5,VALUE(I64)&gt;=60.5,4,VALUE(I64)&gt;=54.5,3,VALUE(I64)&gt;=50.5,2,VALUE(I64)&gt;=44.5,1,TRUE,0)</f>
        <v>10</v>
      </c>
      <c r="K64" s="195">
        <v>3075</v>
      </c>
      <c r="L64" s="195">
        <f>Donations!B48</f>
        <v>4324</v>
      </c>
      <c r="M64" s="267">
        <f t="shared" si="76"/>
        <v>1249</v>
      </c>
      <c r="N64" s="268">
        <f t="shared" si="77"/>
        <v>1.406178861788618</v>
      </c>
      <c r="O64" s="252" cm="1">
        <f t="array" ref="O64">_xlfn.IFS(N64&gt;=115.5%,11,N64&gt;=110.5%,10,N64&gt;=100.5%,9,N64&gt;=99.5%,8,N64&gt;=89.5%,7,N64&gt;=75.5%,6,N64&gt;=60.5%,5,N64&gt;=45.5%,4,N64&gt;=30.5%,3,N64&gt;=15.5%,2,N64&gt;=0.5%,1,TRUE,0)</f>
        <v>11</v>
      </c>
      <c r="P64" s="12">
        <f t="shared" si="78"/>
        <v>6.0901408450704224</v>
      </c>
      <c r="Q64" s="252" cm="1">
        <f t="array" ref="Q64">_xlfn.IFS(P64&gt;10,11,P64&gt;=8.01,10,P64&gt;=6.01,9,P64&gt;=4.01,8,P64=4,7,P64&gt;=3.01,6,P64&gt;=2.01,5,P64&gt;=1.51,4,P64&gt;=1.01,3,P64&gt;=0.51,2,P64&gt;=0.01,1,TRUE,0)</f>
        <v>9</v>
      </c>
      <c r="R64" s="269">
        <v>2130</v>
      </c>
      <c r="S64" s="184">
        <f>Donations!C48</f>
        <v>2130</v>
      </c>
      <c r="T64" s="279">
        <f t="shared" si="79"/>
        <v>3</v>
      </c>
      <c r="U64" s="10">
        <f t="shared" si="80"/>
        <v>0</v>
      </c>
      <c r="V64" s="252" cm="1">
        <f t="array" ref="V64">_xlfn.IFS(T64&gt;=120%,11,T64&gt;=110.5%,10,T64&gt;=100.5%,9,T64&gt;99.9%,8,T64&gt;=85.5%,7,T64&gt;=72.5%,6,T64&gt;=65.5%,5,T64&gt;=55.5%,4,T64&gt;=45.5%,3,T64&gt;=35.5%,2,T64&gt;=20.5%,1,TRUE,0)</f>
        <v>11</v>
      </c>
      <c r="W64" s="269">
        <f t="shared" si="81"/>
        <v>106.5</v>
      </c>
      <c r="X64" s="184">
        <f>Donations!D48</f>
        <v>200</v>
      </c>
      <c r="Y64" s="269">
        <f t="shared" si="82"/>
        <v>0.28169014084507044</v>
      </c>
      <c r="Z64" s="252" cm="1">
        <f t="array" ref="Z64">_xlfn.IFS(Y64&gt;=0.26,11,Y64&gt;=0.21,10,Y64&gt;=0.16,9,Y64=0.15,8,Y64=0.14,7,Y64=0.13,6,Y64&gt;=0.11,5,Y64&gt;=0.09,4,Y64&gt;=0.07,3,Y64&gt;=0.04,2,Y64&gt;=0.01,1,TRUE,0)</f>
        <v>11</v>
      </c>
      <c r="AA64" s="294" t="str">
        <f>'Active &amp; Renewals'!F39</f>
        <v>SUPERIOR</v>
      </c>
      <c r="AB64" s="281" cm="1">
        <f t="array" ref="AB64">_xlfn.IFS(AA64="SUPERIOR",11,AA64="EXCELLENT",9,AA64="GOOD",7,AA64="LATE",5,AA64="NO GRADE",3,AA64="NA",2,AA64="NO REPORT",0)</f>
        <v>11</v>
      </c>
      <c r="AC64" s="294" t="str">
        <f>'Active &amp; Renewals'!H39</f>
        <v>SUPERIOR</v>
      </c>
      <c r="AD64" s="281" cm="1">
        <f t="array" ref="AD64">_xlfn.IFS(AC64="SUPERIOR",11,AC64="EXCELLENT",9,AC64="GOOD",7,AC64="LATE",5,AC64="NO GRADE",3,AC64="NA",2,AC64="NO REPORT",0)</f>
        <v>11</v>
      </c>
      <c r="AE64" s="284" t="str">
        <f>'Active &amp; Renewals'!J39</f>
        <v>NO REPORT</v>
      </c>
      <c r="AF64" s="281" cm="1">
        <f t="array" ref="AF64">_xlfn.IFS(AE64="SUPERIOR",11,AE64="EXCELLENT",9,AE64="GOOD",7,AE64="LATE",5,AE64="NO GRADE",3,AE64="NA",2,AE64="NO REPORT",0)</f>
        <v>0</v>
      </c>
      <c r="AG64" s="284" t="str">
        <f>'Active &amp; Renewals'!L39</f>
        <v>NO REPORT</v>
      </c>
      <c r="AH64" s="281" cm="1">
        <f t="array" ref="AH64">_xlfn.IFS(AG64="SUPERIOR",11,AG64="EXCELLENT",9,AG64="GOOD",7,AG64="LATE",5,AG64="NO GRADE",3,AG64="NA",2,AG64="NO REPORT",0)</f>
        <v>0</v>
      </c>
      <c r="AI64" s="252">
        <f t="shared" si="83"/>
        <v>22</v>
      </c>
      <c r="AJ64" s="227" t="s">
        <v>658</v>
      </c>
      <c r="AK64" s="252" cm="1">
        <f t="array" ref="AK64">_xlfn.IFS(AJ64="8/8",11,AJ64="7/8",7,AJ64="6/8",6,AJ64="5/8",5,AJ64="4/8",4,AJ64="3/8",3,AJ64="2/8",2,AJ64="1/8",1,AJ64="0/8",0,AJ64="6/6",11,AJ64="5/6",7,AJ64="4/6",5,AD64="3/6",4,AD64="2/6",2,AD64="1/6",1,TRUE,0)</f>
        <v>4</v>
      </c>
      <c r="AL64" s="189">
        <v>3</v>
      </c>
      <c r="AM64" s="300" cm="1">
        <f t="array" ref="AM64">_xlfn.IFS(AL64&gt;6,11,AL64&gt;=4,10,AL64&gt;=2,9,AL64=1,8,TRUE,0)</f>
        <v>9</v>
      </c>
      <c r="AN64" s="184">
        <f>Donations!E48</f>
        <v>126</v>
      </c>
      <c r="AO64" s="300" cm="1">
        <f t="array" ref="AO64">_xlfn.IFS(AN64&gt;125,11,AN64&gt;=116,10,AN64&gt;=101,9,AN64=100,8,AN64&gt;=86,7,AN64&gt;=71,6,AN64&gt;=61,5,AN64&gt;=51,4,AN64&gt;=41,3,AN64&gt;=26,2,AN64&gt;=1,1,TRUE,0)</f>
        <v>11</v>
      </c>
      <c r="AP64" s="190">
        <f>Donations!F48</f>
        <v>600.75</v>
      </c>
      <c r="AQ64" s="300" cm="1">
        <f t="array" ref="AQ64">_xlfn.IFS(AP64&gt;600,11,AP64&gt;=551,10,AP64&gt;=501,9,AP64=500,8,AP64&gt;=326,7,AP64&gt;=251,6,AP64&gt;=201,5,AP64&gt;=151,4,AP64&gt;=101,3,AP64&gt;=76,2,AP64&gt;=1,1,TRUE,0)</f>
        <v>11</v>
      </c>
      <c r="AR64" s="350"/>
      <c r="AS64" s="350"/>
      <c r="AT64" s="350"/>
      <c r="AU64" s="353"/>
      <c r="AV64" s="191">
        <v>6</v>
      </c>
      <c r="AW64" s="187">
        <v>5</v>
      </c>
      <c r="AX64" s="187">
        <v>6</v>
      </c>
      <c r="AY64" s="252">
        <f t="shared" si="85"/>
        <v>17</v>
      </c>
      <c r="AZ64" s="192"/>
      <c r="BA64" s="181"/>
      <c r="BB64" s="193">
        <v>0</v>
      </c>
      <c r="BC64" s="252" cm="1">
        <f t="array" ref="BC64">_xlfn.IFS(BB64=0,11,TRUE,0)</f>
        <v>11</v>
      </c>
      <c r="BD64" s="183">
        <v>4</v>
      </c>
      <c r="BE64" s="183">
        <v>4</v>
      </c>
      <c r="BF64" s="183">
        <v>4</v>
      </c>
      <c r="BG64" s="252">
        <f t="shared" si="86"/>
        <v>12</v>
      </c>
      <c r="BH64" s="183">
        <v>3</v>
      </c>
      <c r="BI64" s="183">
        <v>3</v>
      </c>
      <c r="BJ64" s="183">
        <v>3</v>
      </c>
      <c r="BK64" s="252">
        <f t="shared" si="87"/>
        <v>9</v>
      </c>
    </row>
    <row r="65" spans="1:63" ht="15.75" x14ac:dyDescent="0.25">
      <c r="A65" s="180" t="s">
        <v>65</v>
      </c>
      <c r="B65" s="252">
        <f t="shared" si="74"/>
        <v>174</v>
      </c>
      <c r="C65" s="253">
        <f t="shared" si="88"/>
        <v>2</v>
      </c>
      <c r="D65" s="260">
        <f>'Lodge Rank by District'!E47</f>
        <v>3</v>
      </c>
      <c r="E65" s="9" t="str">
        <f>'Active &amp; Renewals'!C57</f>
        <v>984</v>
      </c>
      <c r="F65" s="9" t="str">
        <f>'Active &amp; Renewals'!D57</f>
        <v>1238</v>
      </c>
      <c r="G65" s="2">
        <f t="shared" si="75"/>
        <v>254</v>
      </c>
      <c r="H65" s="252" cm="1">
        <f t="array" ref="H65">_xlfn.IFS(G65&gt;20,11,G65&gt;11,10,G65&gt;2,9,G65&gt;0,8,G65&gt;-6,7,G65&gt;-11,6,G65&gt;-16,5,G65&gt;-21,4,G65&gt;-26,3,G65&gt;-31,2,G65&gt;-36,1,TRUE,0)</f>
        <v>11</v>
      </c>
      <c r="I65" s="113" t="str">
        <f>'Active &amp; Renewals'!E57</f>
        <v>89.41</v>
      </c>
      <c r="J65" s="252" cm="1">
        <f t="array" ref="J65">_xlfn.IFS(VALUE(I65)&gt;=90.5,11,VALUE(I65)&gt;=85.5,10,VALUE(I65)&gt;=80.5,9,VALUE(I65)&gt;=75.5,8,VALUE(I65)&gt;=74.5,7,VALUE(I65)&gt;=70.5,6,VALUE(I65)&gt;=64.5,5,VALUE(I65)&gt;=60.5,4,VALUE(I65)&gt;=54.5,3,VALUE(I65)&gt;=50.5,2,VALUE(I65)&gt;=44.5,1,TRUE,0)</f>
        <v>10</v>
      </c>
      <c r="K65" s="195">
        <v>4429</v>
      </c>
      <c r="L65" s="195">
        <f>Donations!B11</f>
        <v>3732</v>
      </c>
      <c r="M65" s="267">
        <f t="shared" si="76"/>
        <v>-697</v>
      </c>
      <c r="N65" s="268">
        <f t="shared" si="77"/>
        <v>0.84262813276134563</v>
      </c>
      <c r="O65" s="252" cm="1">
        <f t="array" ref="O65">_xlfn.IFS(N65&gt;=115.5%,11,N65&gt;=110.5%,10,N65&gt;=100.5%,9,N65&gt;=99.5%,8,N65&gt;=89.5%,7,N65&gt;=75.5%,6,N65&gt;=60.5%,5,N65&gt;=45.5%,4,N65&gt;=30.5%,3,N65&gt;=15.5%,2,N65&gt;=0.5%,1,TRUE,0)</f>
        <v>6</v>
      </c>
      <c r="P65" s="12">
        <f t="shared" si="78"/>
        <v>3.7926829268292681</v>
      </c>
      <c r="Q65" s="252" cm="1">
        <f t="array" ref="Q65">_xlfn.IFS(P65&gt;10,11,P65&gt;=8.01,10,P65&gt;=6.01,9,P65&gt;=4.01,8,P65=4,7,P65&gt;=3.01,6,P65&gt;=2.01,5,P65&gt;=1.51,4,P65&gt;=1.01,3,P65&gt;=0.51,2,P65&gt;=0.01,1,TRUE,0)</f>
        <v>6</v>
      </c>
      <c r="R65" s="269">
        <v>2952</v>
      </c>
      <c r="S65" s="184">
        <f>Donations!C11</f>
        <v>1200</v>
      </c>
      <c r="T65" s="279">
        <f t="shared" si="79"/>
        <v>1.2195121951219512</v>
      </c>
      <c r="U65" s="10">
        <f t="shared" si="80"/>
        <v>-1752</v>
      </c>
      <c r="V65" s="252" cm="1">
        <f t="array" ref="V65">_xlfn.IFS(T65&gt;=120%,11,T65&gt;=110.5%,10,T65&gt;=100.5%,9,T65&gt;99.9%,8,T65&gt;=85.5%,7,T65&gt;=72.5%,6,T65&gt;=65.5%,5,T65&gt;=55.5%,4,T65&gt;=45.5%,3,T65&gt;=35.5%,2,T65&gt;=20.5%,1,TRUE,0)</f>
        <v>11</v>
      </c>
      <c r="W65" s="269">
        <f t="shared" si="81"/>
        <v>147.6</v>
      </c>
      <c r="X65" s="184">
        <f>Donations!D11</f>
        <v>300</v>
      </c>
      <c r="Y65" s="269">
        <f t="shared" si="82"/>
        <v>0.3048780487804878</v>
      </c>
      <c r="Z65" s="252" cm="1">
        <f t="array" ref="Z65">_xlfn.IFS(Y65&gt;=0.26,11,Y65&gt;=0.21,10,Y65&gt;=0.16,9,Y65=0.15,8,Y65=0.14,7,Y65=0.13,6,Y65&gt;=0.11,5,Y65&gt;=0.09,4,Y65&gt;=0.07,3,Y65&gt;=0.04,2,Y65&gt;=0.01,1,TRUE,0)</f>
        <v>11</v>
      </c>
      <c r="AA65" s="294" t="str">
        <f>'Active &amp; Renewals'!F57</f>
        <v>SUPERIOR</v>
      </c>
      <c r="AB65" s="281" cm="1">
        <f t="array" ref="AB65">_xlfn.IFS(AA65="SUPERIOR",11,AA65="EXCELLENT",9,AA65="GOOD",7,AA65="LATE",5,AA65="NO GRADE",3,AA65="NA",2,AA65="NO REPORT",0)</f>
        <v>11</v>
      </c>
      <c r="AC65" s="294" t="str">
        <f>'Active &amp; Renewals'!H57</f>
        <v>SUPERIOR</v>
      </c>
      <c r="AD65" s="281" cm="1">
        <f t="array" ref="AD65">_xlfn.IFS(AC65="SUPERIOR",11,AC65="EXCELLENT",9,AC65="GOOD",7,AC65="LATE",5,AC65="NO GRADE",3,AC65="NA",2,AC65="NO REPORT",0)</f>
        <v>11</v>
      </c>
      <c r="AE65" s="284" t="str">
        <f>'Active &amp; Renewals'!J57</f>
        <v>NO REPORT</v>
      </c>
      <c r="AF65" s="281" cm="1">
        <f t="array" ref="AF65">_xlfn.IFS(AE65="SUPERIOR",11,AE65="EXCELLENT",9,AE65="GOOD",7,AE65="LATE",5,AE65="NO GRADE",3,AE65="NA",2,AE65="NO REPORT",0)</f>
        <v>0</v>
      </c>
      <c r="AG65" s="284" t="str">
        <f>'Active &amp; Renewals'!L57</f>
        <v>NO REPORT</v>
      </c>
      <c r="AH65" s="281" cm="1">
        <f t="array" ref="AH65">_xlfn.IFS(AG65="SUPERIOR",11,AG65="EXCELLENT",9,AG65="GOOD",7,AG65="LATE",5,AG65="NO GRADE",3,AG65="NA",2,AG65="NO REPORT",0)</f>
        <v>0</v>
      </c>
      <c r="AI65" s="252">
        <f t="shared" si="83"/>
        <v>22</v>
      </c>
      <c r="AJ65" s="188" t="s">
        <v>653</v>
      </c>
      <c r="AK65" s="252" cm="1">
        <f t="array" ref="AK65">_xlfn.IFS(AJ65="8/8",11,AJ65="7/8",7,AJ65="6/8",6,AJ65="5/8",5,AJ65="4/8",4,AJ65="3/8",3,AJ65="2/8",2,AJ65="1/8",1,AJ65="0/8",0,TRUE,0)</f>
        <v>6</v>
      </c>
      <c r="AL65" s="189">
        <v>6</v>
      </c>
      <c r="AM65" s="300" cm="1">
        <f t="array" ref="AM65">_xlfn.IFS(AL65&gt;6,11,AL65&gt;=4,10,AL65&gt;=2,9,AL65=1,8,TRUE,0)</f>
        <v>10</v>
      </c>
      <c r="AN65" s="184">
        <f>Donations!E11</f>
        <v>130</v>
      </c>
      <c r="AO65" s="300" cm="1">
        <f t="array" ref="AO65">_xlfn.IFS(AN65&gt;125,11,AN65&gt;=116,10,AN65&gt;=101,9,AN65=100,8,AN65&gt;=86,7,AN65&gt;=71,6,AN65&gt;=61,5,AN65&gt;=51,4,AN65&gt;=41,3,AN65&gt;=26,2,AN65&gt;=1,1,TRUE,0)</f>
        <v>11</v>
      </c>
      <c r="AP65" s="190">
        <f>Donations!F11</f>
        <v>625</v>
      </c>
      <c r="AQ65" s="300" cm="1">
        <f t="array" ref="AQ65">_xlfn.IFS(AP65&gt;600,11,AP65&gt;=551,10,AP65&gt;=501,9,AP65=500,8,AP65&gt;=326,7,AP65&gt;=251,6,AP65&gt;=201,5,AP65&gt;=151,4,AP65&gt;=101,3,AP65&gt;=76,2,AP65&gt;=1,1,TRUE,0)</f>
        <v>11</v>
      </c>
      <c r="AR65" s="350"/>
      <c r="AS65" s="350"/>
      <c r="AT65" s="350"/>
      <c r="AU65" s="353"/>
      <c r="AV65" s="191">
        <v>6</v>
      </c>
      <c r="AW65" s="187">
        <v>4</v>
      </c>
      <c r="AX65" s="187">
        <v>6</v>
      </c>
      <c r="AY65" s="252">
        <f t="shared" si="85"/>
        <v>16</v>
      </c>
      <c r="AZ65" s="192" t="s">
        <v>651</v>
      </c>
      <c r="BA65" s="181">
        <v>11</v>
      </c>
      <c r="BB65" s="193">
        <v>0</v>
      </c>
      <c r="BC65" s="252" cm="1">
        <f t="array" ref="BC65">_xlfn.IFS(BB65=0,11,TRUE,0)</f>
        <v>11</v>
      </c>
      <c r="BD65" s="183">
        <v>4</v>
      </c>
      <c r="BE65" s="183">
        <v>4</v>
      </c>
      <c r="BF65" s="183">
        <v>4</v>
      </c>
      <c r="BG65" s="252">
        <f t="shared" si="86"/>
        <v>12</v>
      </c>
      <c r="BH65" s="183">
        <v>3</v>
      </c>
      <c r="BI65" s="183">
        <v>3</v>
      </c>
      <c r="BJ65" s="183">
        <v>3</v>
      </c>
      <c r="BK65" s="252">
        <f t="shared" si="87"/>
        <v>9</v>
      </c>
    </row>
    <row r="66" spans="1:63" ht="15.75" x14ac:dyDescent="0.25">
      <c r="A66" s="180" t="s">
        <v>64</v>
      </c>
      <c r="B66" s="252">
        <f t="shared" si="74"/>
        <v>187</v>
      </c>
      <c r="C66" s="253">
        <f t="shared" si="88"/>
        <v>1</v>
      </c>
      <c r="D66" s="260">
        <f>'Lodge Rank by District'!E48</f>
        <v>1</v>
      </c>
      <c r="E66" s="9" t="str">
        <f>'Active &amp; Renewals'!C68</f>
        <v>1020</v>
      </c>
      <c r="F66" s="9" t="str">
        <f>'Active &amp; Renewals'!D68</f>
        <v>1029</v>
      </c>
      <c r="G66" s="2">
        <f t="shared" si="75"/>
        <v>9</v>
      </c>
      <c r="H66" s="252" cm="1">
        <f t="array" ref="H66">_xlfn.IFS(G66&gt;20,11,G66&gt;11,10,G66&gt;2,9,G66&gt;0,8,G66&gt;-6,7,G66&gt;-11,6,G66&gt;-16,5,G66&gt;-21,4,G66&gt;-26,3,G66&gt;-31,2,G66&gt;-36,1,TRUE,0)</f>
        <v>9</v>
      </c>
      <c r="I66" s="113" t="str">
        <f>'Active &amp; Renewals'!E68</f>
        <v>86.56</v>
      </c>
      <c r="J66" s="252" cm="1">
        <f t="array" ref="J66">_xlfn.IFS(VALUE(I66)&gt;=90.5,11,VALUE(I66)&gt;=85.5,10,VALUE(I66)&gt;=80.5,9,VALUE(I66)&gt;=75.5,8,VALUE(I66)&gt;=74.5,7,VALUE(I66)&gt;=70.5,6,VALUE(I66)&gt;=64.5,5,VALUE(I66)&gt;=60.5,4,VALUE(I66)&gt;=54.5,3,VALUE(I66)&gt;=50.5,2,VALUE(I66)&gt;=44.5,1,TRUE,0)</f>
        <v>10</v>
      </c>
      <c r="K66" s="195">
        <v>10396</v>
      </c>
      <c r="L66" s="195">
        <f>Donations!B30</f>
        <v>11264</v>
      </c>
      <c r="M66" s="267">
        <f t="shared" si="76"/>
        <v>868</v>
      </c>
      <c r="N66" s="268">
        <f t="shared" si="77"/>
        <v>1.0834936514043862</v>
      </c>
      <c r="O66" s="252" cm="1">
        <f t="array" ref="O66">_xlfn.IFS(N66&gt;=115.5%,11,N66&gt;=110.5%,10,N66&gt;=100.5%,9,N66&gt;=99.5%,8,N66&gt;=89.5%,7,N66&gt;=75.5%,6,N66&gt;=60.5%,5,N66&gt;=45.5%,4,N66&gt;=30.5%,3,N66&gt;=15.5%,2,N66&gt;=0.5%,1,TRUE,0)</f>
        <v>9</v>
      </c>
      <c r="P66" s="12">
        <f t="shared" si="78"/>
        <v>11.043137254901961</v>
      </c>
      <c r="Q66" s="252" cm="1">
        <f t="array" ref="Q66">_xlfn.IFS(P66&gt;10,11,P66&gt;=8.01,10,P66&gt;=6.01,9,P66&gt;=4.01,8,P66=4,7,P66&gt;=3.01,6,P66&gt;=2.01,5,P66&gt;=1.51,4,P66&gt;=1.01,3,P66&gt;=0.51,2,P66&gt;=0.01,1,TRUE,0)</f>
        <v>11</v>
      </c>
      <c r="R66" s="269">
        <v>3060</v>
      </c>
      <c r="S66" s="184">
        <f>Donations!C30</f>
        <v>3060</v>
      </c>
      <c r="T66" s="279">
        <f t="shared" si="79"/>
        <v>3</v>
      </c>
      <c r="U66" s="10">
        <f t="shared" si="80"/>
        <v>0</v>
      </c>
      <c r="V66" s="252" cm="1">
        <f t="array" ref="V66">_xlfn.IFS(T66&gt;=120%,11,T66&gt;=110.5%,10,T66&gt;=100.5%,9,T66&gt;99.9%,8,T66&gt;=85.5%,7,T66&gt;=72.5%,6,T66&gt;=65.5%,5,T66&gt;=55.5%,4,T66&gt;=45.5%,3,T66&gt;=35.5%,2,T66&gt;=20.5%,1,TRUE,0)</f>
        <v>11</v>
      </c>
      <c r="W66" s="269">
        <f t="shared" si="81"/>
        <v>153</v>
      </c>
      <c r="X66" s="184">
        <f>Donations!D30</f>
        <v>600</v>
      </c>
      <c r="Y66" s="269">
        <f t="shared" si="82"/>
        <v>0.58823529411764708</v>
      </c>
      <c r="Z66" s="252" cm="1">
        <f t="array" ref="Z66">_xlfn.IFS(Y66&gt;=0.26,11,Y66&gt;=0.21,10,Y66&gt;=0.16,9,Y66=0.15,8,Y66=0.14,7,Y66=0.13,6,Y66&gt;=0.11,5,Y66&gt;=0.09,4,Y66&gt;=0.07,3,Y66&gt;=0.04,2,Y66&gt;=0.01,1,TRUE,0)</f>
        <v>11</v>
      </c>
      <c r="AA66" s="294" t="str">
        <f>'Active &amp; Renewals'!F68</f>
        <v>SUPERIOR</v>
      </c>
      <c r="AB66" s="281" cm="1">
        <f t="array" ref="AB66">_xlfn.IFS(AA66="SUPERIOR",11,AA66="EXCELLENT",9,AA66="GOOD",7,AA66="LATE",5,AA66="NO GRADE",3,AA66="NA",2,AA66="NO REPORT",0)</f>
        <v>11</v>
      </c>
      <c r="AC66" s="294" t="str">
        <f>'Active &amp; Renewals'!H68</f>
        <v>SUPERIOR</v>
      </c>
      <c r="AD66" s="281" cm="1">
        <f t="array" ref="AD66">_xlfn.IFS(AC66="SUPERIOR",11,AC66="EXCELLENT",9,AC66="GOOD",7,AC66="LATE",5,AC66="NO GRADE",3,AC66="NA",2,AC66="NO REPORT",0)</f>
        <v>11</v>
      </c>
      <c r="AE66" s="284" t="str">
        <f>'Active &amp; Renewals'!J68</f>
        <v>NO REPORT</v>
      </c>
      <c r="AF66" s="281" cm="1">
        <f t="array" ref="AF66">_xlfn.IFS(AE66="SUPERIOR",11,AE66="EXCELLENT",9,AE66="GOOD",7,AE66="LATE",5,AE66="NO GRADE",3,AE66="NA",2,AE66="NO REPORT",0)</f>
        <v>0</v>
      </c>
      <c r="AG66" s="284" t="str">
        <f>'Active &amp; Renewals'!L68</f>
        <v>NO REPORT</v>
      </c>
      <c r="AH66" s="281" cm="1">
        <f t="array" ref="AH66">_xlfn.IFS(AG66="SUPERIOR",11,AG66="EXCELLENT",9,AG66="GOOD",7,AG66="LATE",5,AG66="NO GRADE",3,AG66="NA",2,AG66="NO REPORT",0)</f>
        <v>0</v>
      </c>
      <c r="AI66" s="252">
        <f t="shared" si="83"/>
        <v>22</v>
      </c>
      <c r="AJ66" s="188" t="s">
        <v>655</v>
      </c>
      <c r="AK66" s="252" cm="1">
        <f t="array" ref="AK66">_xlfn.IFS(AJ66="8/8",11,AJ66="7/8",7,AJ66="6/8",6,AJ66="5/8",5,AJ66="4/8",4,AJ66="3/8",3,AJ66="2/8",2,AJ66="1/8",1,AJ66="0/8",0,TRUE,0)</f>
        <v>11</v>
      </c>
      <c r="AL66" s="189">
        <v>5</v>
      </c>
      <c r="AM66" s="300" cm="1">
        <f t="array" ref="AM66">_xlfn.IFS(AL66&gt;6,11,AL66&gt;=4,10,AL66&gt;=2,9,AL66=1,8,TRUE,0)</f>
        <v>10</v>
      </c>
      <c r="AN66" s="184">
        <f>Donations!E30</f>
        <v>130</v>
      </c>
      <c r="AO66" s="300" cm="1">
        <f t="array" ref="AO66">_xlfn.IFS(AN66&gt;125,11,AN66&gt;=116,10,AN66&gt;=101,9,AN66=100,8,AN66&gt;=86,7,AN66&gt;=71,6,AN66&gt;=61,5,AN66&gt;=51,4,AN66&gt;=41,3,AN66&gt;=26,2,AN66&gt;=1,1,TRUE,0)</f>
        <v>11</v>
      </c>
      <c r="AP66" s="190">
        <f>Donations!F30</f>
        <v>601</v>
      </c>
      <c r="AQ66" s="300" cm="1">
        <f t="array" ref="AQ66">_xlfn.IFS(AP66&gt;600,11,AP66&gt;=551,10,AP66&gt;=501,9,AP66=500,8,AP66&gt;=326,7,AP66&gt;=251,6,AP66&gt;=201,5,AP66&gt;=151,4,AP66&gt;=101,3,AP66&gt;=76,2,AP66&gt;=1,1,TRUE,0)</f>
        <v>11</v>
      </c>
      <c r="AR66" s="350"/>
      <c r="AS66" s="350"/>
      <c r="AT66" s="350"/>
      <c r="AU66" s="353"/>
      <c r="AV66" s="191">
        <v>6</v>
      </c>
      <c r="AW66" s="187">
        <v>6</v>
      </c>
      <c r="AX66" s="187">
        <v>6</v>
      </c>
      <c r="AY66" s="252">
        <f t="shared" si="85"/>
        <v>18</v>
      </c>
      <c r="AZ66" s="192" t="s">
        <v>651</v>
      </c>
      <c r="BA66" s="181">
        <v>11</v>
      </c>
      <c r="BB66" s="193">
        <v>0</v>
      </c>
      <c r="BC66" s="252" cm="1">
        <f t="array" ref="BC66">_xlfn.IFS(BB66=0,11,TRUE,0)</f>
        <v>11</v>
      </c>
      <c r="BD66" s="183">
        <v>4</v>
      </c>
      <c r="BE66" s="183">
        <v>4</v>
      </c>
      <c r="BF66" s="183">
        <v>4</v>
      </c>
      <c r="BG66" s="252">
        <f t="shared" si="86"/>
        <v>12</v>
      </c>
      <c r="BH66" s="183">
        <v>3</v>
      </c>
      <c r="BI66" s="183">
        <v>3</v>
      </c>
      <c r="BJ66" s="183">
        <v>3</v>
      </c>
      <c r="BK66" s="252">
        <f t="shared" si="87"/>
        <v>9</v>
      </c>
    </row>
    <row r="67" spans="1:63" ht="15.75" x14ac:dyDescent="0.25">
      <c r="A67" s="180" t="s">
        <v>63</v>
      </c>
      <c r="B67" s="252">
        <f t="shared" si="74"/>
        <v>163</v>
      </c>
      <c r="C67" s="253">
        <f t="shared" si="88"/>
        <v>4</v>
      </c>
      <c r="D67" s="260">
        <f>'Lodge Rank by District'!E49</f>
        <v>8</v>
      </c>
      <c r="E67" s="9" t="str">
        <f>'Active &amp; Renewals'!C71</f>
        <v>768</v>
      </c>
      <c r="F67" s="9" t="str">
        <f>'Active &amp; Renewals'!D71</f>
        <v>809</v>
      </c>
      <c r="G67" s="2">
        <f t="shared" si="75"/>
        <v>41</v>
      </c>
      <c r="H67" s="252" cm="1">
        <f t="array" ref="H67">_xlfn.IFS(G67&gt;20,11,G67&gt;11,10,G67&gt;2,9,G67&gt;0,8,G67&gt;-6,7,G67&gt;-11,6,G67&gt;-16,5,G67&gt;-21,4,G67&gt;-26,3,G67&gt;-31,2,G67&gt;-36,1,TRUE,0)</f>
        <v>11</v>
      </c>
      <c r="I67" s="113" t="str">
        <f>'Active &amp; Renewals'!E71</f>
        <v>90.22</v>
      </c>
      <c r="J67" s="252" cm="1">
        <f t="array" ref="J67">_xlfn.IFS(VALUE(I67)&gt;=90.5,11,VALUE(I67)&gt;=85.5,10,VALUE(I67)&gt;=80.5,9,VALUE(I67)&gt;=75.5,8,VALUE(I67)&gt;=74.5,7,VALUE(I67)&gt;=70.5,6,VALUE(I67)&gt;=64.5,5,VALUE(I67)&gt;=60.5,4,VALUE(I67)&gt;=54.5,3,VALUE(I67)&gt;=50.5,2,VALUE(I67)&gt;=44.5,1,TRUE,0)</f>
        <v>10</v>
      </c>
      <c r="K67" s="195">
        <v>4661</v>
      </c>
      <c r="L67" s="195">
        <f>Donations!B36</f>
        <v>5332</v>
      </c>
      <c r="M67" s="267">
        <f t="shared" si="76"/>
        <v>671</v>
      </c>
      <c r="N67" s="268">
        <f t="shared" si="77"/>
        <v>1.1439605234928127</v>
      </c>
      <c r="O67" s="252" cm="1">
        <f t="array" ref="O67">_xlfn.IFS(N67&gt;=115.5%,11,N67&gt;=110.5%,10,N67&gt;=100.5%,9,N67&gt;=99.5%,8,N67&gt;=89.5%,7,N67&gt;=75.5%,6,N67&gt;=60.5%,5,N67&gt;=45.5%,4,N67&gt;=30.5%,3,N67&gt;=15.5%,2,N67&gt;=0.5%,1,TRUE,0)</f>
        <v>10</v>
      </c>
      <c r="P67" s="12">
        <f t="shared" si="78"/>
        <v>6.942708333333333</v>
      </c>
      <c r="Q67" s="252" cm="1">
        <f t="array" ref="Q67">_xlfn.IFS(P67&gt;10,11,P67&gt;=8.01,10,P67&gt;=6.01,9,P67&gt;=4.01,8,P67=4,7,P67&gt;=3.01,6,P67&gt;=2.01,5,P67&gt;=1.51,4,P67&gt;=1.01,3,P67&gt;=0.51,2,P67&gt;=0.01,1,TRUE,0)</f>
        <v>9</v>
      </c>
      <c r="R67" s="269">
        <v>2304</v>
      </c>
      <c r="S67" s="184">
        <f>Donations!C36</f>
        <v>925</v>
      </c>
      <c r="T67" s="279">
        <f t="shared" si="79"/>
        <v>1.2044270833333333</v>
      </c>
      <c r="U67" s="10">
        <f t="shared" si="80"/>
        <v>-1379</v>
      </c>
      <c r="V67" s="252" cm="1">
        <f t="array" ref="V67">_xlfn.IFS(T67&gt;=120%,11,T67&gt;=110.5%,10,T67&gt;=100.5%,9,T67&gt;99.9%,8,T67&gt;=85.5%,7,T67&gt;=72.5%,6,T67&gt;=65.5%,5,T67&gt;=55.5%,4,T67&gt;=45.5%,3,T67&gt;=35.5%,2,T67&gt;=20.5%,1,TRUE,0)</f>
        <v>11</v>
      </c>
      <c r="W67" s="269">
        <f t="shared" si="81"/>
        <v>115.19999999999999</v>
      </c>
      <c r="X67" s="184">
        <f>Donations!D36</f>
        <v>215</v>
      </c>
      <c r="Y67" s="269">
        <f t="shared" si="82"/>
        <v>0.27994791666666669</v>
      </c>
      <c r="Z67" s="252" cm="1">
        <f t="array" ref="Z67">_xlfn.IFS(Y67&gt;=0.26,11,Y67&gt;=0.21,10,Y67&gt;=0.16,9,Y67=0.15,8,Y67=0.14,7,Y67=0.13,6,Y67&gt;=0.11,5,Y67&gt;=0.09,4,Y67&gt;=0.07,3,Y67&gt;=0.04,2,Y67&gt;=0.01,1,TRUE,0)</f>
        <v>11</v>
      </c>
      <c r="AA67" s="294" t="str">
        <f>'Active &amp; Renewals'!F71</f>
        <v>SUPERIOR</v>
      </c>
      <c r="AB67" s="281" cm="1">
        <f t="array" ref="AB67">_xlfn.IFS(AA67="SUPERIOR",11,AA67="EXCELLENT",9,AA67="GOOD",7,AA67="LATE",5,AA67="NO GRADE",3,AA67="NA",2,AA67="NO REPORT",0)</f>
        <v>11</v>
      </c>
      <c r="AC67" s="294" t="str">
        <f>'Active &amp; Renewals'!H71</f>
        <v>SUPERIOR</v>
      </c>
      <c r="AD67" s="281" cm="1">
        <f t="array" ref="AD67">_xlfn.IFS(AC67="SUPERIOR",11,AC67="EXCELLENT",9,AC67="GOOD",7,AC67="LATE",5,AC67="NO GRADE",3,AC67="NA",2,AC67="NO REPORT",0)</f>
        <v>11</v>
      </c>
      <c r="AE67" s="284" t="str">
        <f>'Active &amp; Renewals'!J71</f>
        <v>NO REPORT</v>
      </c>
      <c r="AF67" s="281" cm="1">
        <f t="array" ref="AF67">_xlfn.IFS(AE67="SUPERIOR",11,AE67="EXCELLENT",9,AE67="GOOD",7,AE67="LATE",5,AE67="NO GRADE",3,AE67="NA",2,AE67="NO REPORT",0)</f>
        <v>0</v>
      </c>
      <c r="AG67" s="284" t="str">
        <f>'Active &amp; Renewals'!L71</f>
        <v>NO REPORT</v>
      </c>
      <c r="AH67" s="281" cm="1">
        <f t="array" ref="AH67">_xlfn.IFS(AG67="SUPERIOR",11,AG67="EXCELLENT",9,AG67="GOOD",7,AG67="LATE",5,AG67="NO GRADE",3,AG67="NA",2,AG67="NO REPORT",0)</f>
        <v>0</v>
      </c>
      <c r="AI67" s="252">
        <f t="shared" si="83"/>
        <v>22</v>
      </c>
      <c r="AJ67" s="188" t="s">
        <v>657</v>
      </c>
      <c r="AK67" s="252" cm="1">
        <f t="array" ref="AK67">_xlfn.IFS(AJ67="8/8",11,AJ67="7/8",7,AJ67="6/8",6,AJ67="5/8",5,AJ67="4/8",4,AJ67="3/8",3,AJ67="2/8",2,AJ67="1/8",1,AJ67="0/8",0,TRUE,0)</f>
        <v>3</v>
      </c>
      <c r="AL67" s="189">
        <v>2</v>
      </c>
      <c r="AM67" s="300" cm="1">
        <f t="array" ref="AM67">_xlfn.IFS(AL67&gt;6,11,AL67&gt;=4,10,AL67&gt;=2,9,AL67=1,8,TRUE,0)</f>
        <v>9</v>
      </c>
      <c r="AN67" s="184">
        <f>Donations!E36</f>
        <v>126</v>
      </c>
      <c r="AO67" s="300" cm="1">
        <f t="array" ref="AO67">_xlfn.IFS(AN67&gt;125,11,AN67&gt;=116,10,AN67&gt;=101,9,AN67=100,8,AN67&gt;=86,7,AN67&gt;=71,6,AN67&gt;=61,5,AN67&gt;=51,4,AN67&gt;=41,3,AN67&gt;=26,2,AN67&gt;=1,1,TRUE,0)</f>
        <v>11</v>
      </c>
      <c r="AP67" s="190">
        <f>Donations!F36</f>
        <v>602</v>
      </c>
      <c r="AQ67" s="300" cm="1">
        <f t="array" ref="AQ67">_xlfn.IFS(AP67&gt;600,11,AP67&gt;=551,10,AP67&gt;=501,9,AP67=500,8,AP67&gt;=326,7,AP67&gt;=251,6,AP67&gt;=201,5,AP67&gt;=151,4,AP67&gt;=101,3,AP67&gt;=76,2,AP67&gt;=1,1,TRUE,0)</f>
        <v>11</v>
      </c>
      <c r="AR67" s="350"/>
      <c r="AS67" s="350"/>
      <c r="AT67" s="350"/>
      <c r="AU67" s="353"/>
      <c r="AV67" s="191">
        <v>5</v>
      </c>
      <c r="AW67" s="187">
        <v>5</v>
      </c>
      <c r="AX67" s="187">
        <v>3</v>
      </c>
      <c r="AY67" s="252">
        <f t="shared" si="85"/>
        <v>13</v>
      </c>
      <c r="AZ67" s="192"/>
      <c r="BA67" s="181"/>
      <c r="BB67" s="193">
        <v>0</v>
      </c>
      <c r="BC67" s="252" cm="1">
        <f t="array" ref="BC67">_xlfn.IFS(BB67=0,11,TRUE,0)</f>
        <v>11</v>
      </c>
      <c r="BD67" s="183">
        <v>4</v>
      </c>
      <c r="BE67" s="183">
        <v>4</v>
      </c>
      <c r="BF67" s="183">
        <v>4</v>
      </c>
      <c r="BG67" s="252">
        <f t="shared" si="86"/>
        <v>12</v>
      </c>
      <c r="BH67" s="183">
        <v>3</v>
      </c>
      <c r="BI67" s="183">
        <v>3</v>
      </c>
      <c r="BJ67" s="183">
        <v>3</v>
      </c>
      <c r="BK67" s="252">
        <f t="shared" si="87"/>
        <v>9</v>
      </c>
    </row>
    <row r="68" spans="1:63" ht="15.75" x14ac:dyDescent="0.25">
      <c r="A68" s="180" t="s">
        <v>62</v>
      </c>
      <c r="B68" s="252">
        <f t="shared" si="74"/>
        <v>153</v>
      </c>
      <c r="C68" s="253">
        <f t="shared" si="88"/>
        <v>5</v>
      </c>
      <c r="D68" s="260">
        <f>'Lodge Rank by District'!E50</f>
        <v>17</v>
      </c>
      <c r="E68" s="9" t="str">
        <f>'Active &amp; Renewals'!C82</f>
        <v>508</v>
      </c>
      <c r="F68" s="9" t="str">
        <f>'Active &amp; Renewals'!D82</f>
        <v>512</v>
      </c>
      <c r="G68" s="2">
        <f t="shared" si="75"/>
        <v>4</v>
      </c>
      <c r="H68" s="252" cm="1">
        <f t="array" ref="H68">_xlfn.IFS(G68&gt;20,11,G68&gt;11,10,G68&gt;2,9,G68&gt;0,8,G68&gt;-6,7,G68&gt;-11,6,G68&gt;-16,5,G68&gt;-21,4,G68&gt;-26,3,G68&gt;-31,2,G68&gt;-36,1,TRUE,0)</f>
        <v>9</v>
      </c>
      <c r="I68" s="113" t="str">
        <f>'Active &amp; Renewals'!E82</f>
        <v>86.61</v>
      </c>
      <c r="J68" s="252" cm="1">
        <f t="array" ref="J68">_xlfn.IFS(VALUE(I68)&gt;=90.5,11,VALUE(I68)&gt;=85.5,10,VALUE(I68)&gt;=80.5,9,VALUE(I68)&gt;=75.5,8,VALUE(I68)&gt;=74.5,7,VALUE(I68)&gt;=70.5,6,VALUE(I68)&gt;=64.5,5,VALUE(I68)&gt;=60.5,4,VALUE(I68)&gt;=54.5,3,VALUE(I68)&gt;=50.5,2,VALUE(I68)&gt;=44.5,1,TRUE,0)</f>
        <v>10</v>
      </c>
      <c r="K68" s="195">
        <v>1700</v>
      </c>
      <c r="L68" s="195">
        <f>Donations!B99</f>
        <v>2112</v>
      </c>
      <c r="M68" s="267">
        <f t="shared" si="76"/>
        <v>412</v>
      </c>
      <c r="N68" s="268">
        <f t="shared" si="77"/>
        <v>1.2423529411764707</v>
      </c>
      <c r="O68" s="252" cm="1">
        <f t="array" ref="O68">_xlfn.IFS(N68&gt;=115.5%,11,N68&gt;=110.5%,10,N68&gt;=100.5%,9,N68&gt;=99.5%,8,N68&gt;=89.5%,7,N68&gt;=75.5%,6,N68&gt;=60.5%,5,N68&gt;=45.5%,4,N68&gt;=30.5%,3,N68&gt;=15.5%,2,N68&gt;=0.5%,1,TRUE,0)</f>
        <v>11</v>
      </c>
      <c r="P68" s="12">
        <f t="shared" si="78"/>
        <v>4.1574803149606296</v>
      </c>
      <c r="Q68" s="252" cm="1">
        <f t="array" ref="Q68">_xlfn.IFS(P68&gt;10,11,P68&gt;=8.01,10,P68&gt;=6.01,9,P68&gt;=4.01,8,P68=4,7,P68&gt;=3.01,6,P68&gt;=2.01,5,P68&gt;=1.51,4,P68&gt;=1.01,3,P68&gt;=0.51,2,P68&gt;=0.01,1,TRUE,0)</f>
        <v>8</v>
      </c>
      <c r="R68" s="269">
        <v>1524</v>
      </c>
      <c r="S68" s="184">
        <f>Donations!C99</f>
        <v>675</v>
      </c>
      <c r="T68" s="279">
        <f t="shared" si="79"/>
        <v>1.328740157480315</v>
      </c>
      <c r="U68" s="10">
        <f t="shared" si="80"/>
        <v>-849</v>
      </c>
      <c r="V68" s="252" cm="1">
        <f t="array" ref="V68">_xlfn.IFS(T68&gt;=120%,11,T68&gt;=110.5%,10,T68&gt;=100.5%,9,T68&gt;99.9%,8,T68&gt;=85.5%,7,T68&gt;=72.5%,6,T68&gt;=65.5%,5,T68&gt;=55.5%,4,T68&gt;=45.5%,3,T68&gt;=35.5%,2,T68&gt;=20.5%,1,TRUE,0)</f>
        <v>11</v>
      </c>
      <c r="W68" s="269">
        <f t="shared" si="81"/>
        <v>76.2</v>
      </c>
      <c r="X68" s="184">
        <f>Donations!D99</f>
        <v>175</v>
      </c>
      <c r="Y68" s="269">
        <f t="shared" si="82"/>
        <v>0.34448818897637795</v>
      </c>
      <c r="Z68" s="252" cm="1">
        <f t="array" ref="Z68">_xlfn.IFS(Y68&gt;=0.26,11,Y68&gt;=0.21,10,Y68&gt;=0.16,9,Y68=0.15,8,Y68=0.14,7,Y68=0.13,6,Y68&gt;=0.11,5,Y68&gt;=0.09,4,Y68&gt;=0.07,3,Y68&gt;=0.04,2,Y68&gt;=0.01,1,TRUE,0)</f>
        <v>11</v>
      </c>
      <c r="AA68" s="294" t="str">
        <f>'Active &amp; Renewals'!F82</f>
        <v>EXCELLENT</v>
      </c>
      <c r="AB68" s="281" cm="1">
        <f t="array" ref="AB68">_xlfn.IFS(AA68="SUPERIOR",11,AA68="EXCELLENT",9,AA68="GOOD",7,AA68="LATE",5,AA68="NO GRADE",3,AA68="NA",2,AA68="NO REPORT",0)</f>
        <v>9</v>
      </c>
      <c r="AC68" s="294" t="str">
        <f>'Active &amp; Renewals'!H82</f>
        <v>SUPERIOR</v>
      </c>
      <c r="AD68" s="281" cm="1">
        <f t="array" ref="AD68">_xlfn.IFS(AC68="SUPERIOR",11,AC68="EXCELLENT",9,AC68="GOOD",7,AC68="LATE",5,AC68="NO GRADE",3,AC68="NA",2,AC68="NO REPORT",0)</f>
        <v>11</v>
      </c>
      <c r="AE68" s="284" t="str">
        <f>'Active &amp; Renewals'!J82</f>
        <v>NO REPORT</v>
      </c>
      <c r="AF68" s="281" cm="1">
        <f t="array" ref="AF68">_xlfn.IFS(AE68="SUPERIOR",11,AE68="EXCELLENT",9,AE68="GOOD",7,AE68="LATE",5,AE68="NO GRADE",3,AE68="NA",2,AE68="NO REPORT",0)</f>
        <v>0</v>
      </c>
      <c r="AG68" s="284" t="str">
        <f>'Active &amp; Renewals'!L82</f>
        <v>NO REPORT</v>
      </c>
      <c r="AH68" s="281" cm="1">
        <f t="array" ref="AH68">_xlfn.IFS(AG68="SUPERIOR",11,AG68="EXCELLENT",9,AG68="GOOD",7,AG68="LATE",5,AG68="NO GRADE",3,AG68="NA",2,AG68="NO REPORT",0)</f>
        <v>0</v>
      </c>
      <c r="AI68" s="252">
        <f t="shared" si="83"/>
        <v>20</v>
      </c>
      <c r="AJ68" s="188" t="s">
        <v>657</v>
      </c>
      <c r="AK68" s="252" cm="1">
        <f t="array" ref="AK68">_xlfn.IFS(AJ68="8/8",11,AJ68="7/8",7,AJ68="6/8",6,AJ68="5/8",5,AJ68="4/8",4,AJ68="3/8",3,AJ68="2/8",2,AJ68="1/8",1,AJ68="0/8",0,TRUE,0)</f>
        <v>3</v>
      </c>
      <c r="AL68" s="189">
        <v>1</v>
      </c>
      <c r="AM68" s="300" cm="1">
        <f t="array" ref="AM68">_xlfn.IFS(AL68&gt;6,11,AL68&gt;=4,10,AL68&gt;=2,9,AL68=1,8,TRUE,0)</f>
        <v>8</v>
      </c>
      <c r="AN68" s="184">
        <f>Donations!E99</f>
        <v>130</v>
      </c>
      <c r="AO68" s="300" cm="1">
        <f t="array" ref="AO68">_xlfn.IFS(AN68&gt;125,11,AN68&gt;=116,10,AN68&gt;=101,9,AN68=100,8,AN68&gt;=86,7,AN68&gt;=71,6,AN68&gt;=61,5,AN68&gt;=51,4,AN68&gt;=41,3,AN68&gt;=26,2,AN68&gt;=1,1,TRUE,0)</f>
        <v>11</v>
      </c>
      <c r="AP68" s="190">
        <f>Donations!F99</f>
        <v>501</v>
      </c>
      <c r="AQ68" s="300" cm="1">
        <f t="array" ref="AQ68">_xlfn.IFS(AP68&gt;600,11,AP68&gt;=551,10,AP68&gt;=501,9,AP68=500,8,AP68&gt;=326,7,AP68&gt;=251,6,AP68&gt;=201,5,AP68&gt;=151,4,AP68&gt;=101,3,AP68&gt;=76,2,AP68&gt;=1,1,TRUE,0)</f>
        <v>9</v>
      </c>
      <c r="AR68" s="351"/>
      <c r="AS68" s="351"/>
      <c r="AT68" s="351"/>
      <c r="AU68" s="354"/>
      <c r="AV68" s="191">
        <v>4</v>
      </c>
      <c r="AW68" s="187">
        <v>3</v>
      </c>
      <c r="AX68" s="187">
        <v>6</v>
      </c>
      <c r="AY68" s="252">
        <f t="shared" si="85"/>
        <v>13</v>
      </c>
      <c r="AZ68" s="192"/>
      <c r="BA68" s="181"/>
      <c r="BB68" s="193">
        <v>0</v>
      </c>
      <c r="BC68" s="252" cm="1">
        <f t="array" ref="BC68">_xlfn.IFS(BB68=0,11,TRUE,0)</f>
        <v>11</v>
      </c>
      <c r="BD68" s="183">
        <v>4</v>
      </c>
      <c r="BE68" s="183">
        <v>4</v>
      </c>
      <c r="BF68" s="183">
        <v>4</v>
      </c>
      <c r="BG68" s="252">
        <f t="shared" si="86"/>
        <v>12</v>
      </c>
      <c r="BH68" s="183">
        <v>3</v>
      </c>
      <c r="BI68" s="183">
        <v>0</v>
      </c>
      <c r="BJ68" s="183">
        <v>3</v>
      </c>
      <c r="BK68" s="252">
        <f t="shared" si="87"/>
        <v>6</v>
      </c>
    </row>
    <row r="69" spans="1:63" ht="18.75" x14ac:dyDescent="0.25">
      <c r="A69" s="196" t="s">
        <v>1</v>
      </c>
      <c r="B69" s="254">
        <f>SUM(B62:B68)/7</f>
        <v>160.42857142857142</v>
      </c>
      <c r="C69" s="2"/>
      <c r="D69" s="256">
        <f>'District '!G22</f>
        <v>1</v>
      </c>
      <c r="E69" s="5"/>
      <c r="F69" s="5"/>
      <c r="G69" s="1"/>
      <c r="H69" s="1"/>
      <c r="I69" s="307"/>
      <c r="J69" s="1"/>
      <c r="K69" s="210"/>
      <c r="L69" s="226">
        <f>SUM(L62:L68)</f>
        <v>36449</v>
      </c>
      <c r="M69" s="4"/>
      <c r="N69" s="97"/>
      <c r="O69" s="1"/>
      <c r="P69" s="3"/>
      <c r="Q69" s="1"/>
      <c r="R69" s="267" t="s">
        <v>0</v>
      </c>
      <c r="S69" s="202"/>
      <c r="T69" s="97"/>
      <c r="U69" s="1"/>
      <c r="V69" s="1"/>
      <c r="W69" s="1"/>
      <c r="X69" s="285"/>
      <c r="Y69" s="269"/>
      <c r="Z69" s="1"/>
      <c r="AA69" s="2"/>
      <c r="AB69" s="2"/>
      <c r="AC69" s="2"/>
      <c r="AD69" s="2"/>
      <c r="AE69" s="7"/>
      <c r="AF69" s="18"/>
      <c r="AG69" s="7"/>
      <c r="AH69" s="2"/>
      <c r="AI69" s="1"/>
      <c r="AJ69" s="204"/>
      <c r="AK69" s="1"/>
      <c r="AL69" s="197"/>
      <c r="AM69" s="1"/>
      <c r="AN69" s="205"/>
      <c r="AO69" s="1"/>
      <c r="AP69" s="206"/>
      <c r="AQ69" s="1"/>
      <c r="AR69" s="207"/>
      <c r="AS69" s="207"/>
      <c r="AT69" s="207"/>
      <c r="AU69" s="275"/>
      <c r="AV69" s="212"/>
      <c r="AW69" s="212"/>
      <c r="AX69" s="209"/>
      <c r="AY69" s="1"/>
      <c r="AZ69" s="204"/>
      <c r="BA69" s="197"/>
      <c r="BB69" s="210"/>
      <c r="BC69" s="1"/>
      <c r="BD69" s="197"/>
      <c r="BE69" s="197"/>
      <c r="BF69" s="197"/>
      <c r="BG69" s="1"/>
      <c r="BH69" s="197"/>
      <c r="BI69" s="197"/>
      <c r="BJ69" s="211"/>
      <c r="BK69" s="1"/>
    </row>
    <row r="70" spans="1:63" ht="18.75" x14ac:dyDescent="0.25">
      <c r="A70" s="196"/>
      <c r="B70" s="116"/>
      <c r="C70" s="2"/>
      <c r="D70" s="2"/>
      <c r="E70" s="5"/>
      <c r="F70" s="5"/>
      <c r="G70" s="1"/>
      <c r="H70" s="1"/>
      <c r="I70" s="307"/>
      <c r="J70" s="1"/>
      <c r="K70" s="210"/>
      <c r="L70" s="226"/>
      <c r="M70" s="4"/>
      <c r="N70" s="97"/>
      <c r="O70" s="1"/>
      <c r="P70" s="3"/>
      <c r="Q70" s="1"/>
      <c r="R70" s="267"/>
      <c r="S70" s="202"/>
      <c r="T70" s="97"/>
      <c r="U70" s="1"/>
      <c r="V70" s="1"/>
      <c r="W70" s="1"/>
      <c r="X70" s="285"/>
      <c r="Y70" s="269"/>
      <c r="Z70" s="1"/>
      <c r="AA70" s="2"/>
      <c r="AB70" s="2"/>
      <c r="AC70" s="2"/>
      <c r="AD70" s="2"/>
      <c r="AE70" s="7"/>
      <c r="AF70" s="18"/>
      <c r="AG70" s="7"/>
      <c r="AH70" s="2"/>
      <c r="AI70" s="1"/>
      <c r="AJ70" s="204"/>
      <c r="AK70" s="1"/>
      <c r="AL70" s="197"/>
      <c r="AM70" s="1"/>
      <c r="AN70" s="205"/>
      <c r="AO70" s="1"/>
      <c r="AP70" s="206"/>
      <c r="AQ70" s="1"/>
      <c r="AR70" s="207"/>
      <c r="AS70" s="207"/>
      <c r="AT70" s="207"/>
      <c r="AU70" s="275"/>
      <c r="AV70" s="212"/>
      <c r="AW70" s="212"/>
      <c r="AX70" s="209"/>
      <c r="AY70" s="1"/>
      <c r="AZ70" s="204"/>
      <c r="BA70" s="197"/>
      <c r="BB70" s="210"/>
      <c r="BC70" s="1"/>
      <c r="BD70" s="197"/>
      <c r="BE70" s="197"/>
      <c r="BF70" s="197"/>
      <c r="BG70" s="1"/>
      <c r="BH70" s="197"/>
      <c r="BI70" s="197"/>
      <c r="BJ70" s="211"/>
      <c r="BK70" s="1"/>
    </row>
    <row r="71" spans="1:63" ht="18.75" x14ac:dyDescent="0.25">
      <c r="A71" s="196" t="s">
        <v>61</v>
      </c>
      <c r="B71" s="2"/>
      <c r="C71" s="2"/>
      <c r="D71" s="2"/>
      <c r="E71" s="5"/>
      <c r="F71" s="5"/>
      <c r="G71" s="1"/>
      <c r="H71" s="1"/>
      <c r="I71" s="307"/>
      <c r="J71" s="1"/>
      <c r="K71" s="210"/>
      <c r="L71" s="210"/>
      <c r="M71" s="4"/>
      <c r="N71" s="97"/>
      <c r="O71" s="1"/>
      <c r="P71" s="3"/>
      <c r="Q71" s="1"/>
      <c r="R71" s="267" t="s">
        <v>0</v>
      </c>
      <c r="S71" s="202"/>
      <c r="T71" s="97"/>
      <c r="U71" s="1"/>
      <c r="V71" s="1"/>
      <c r="W71" s="1"/>
      <c r="X71" s="285"/>
      <c r="Y71" s="269"/>
      <c r="Z71" s="1"/>
      <c r="AA71" s="2"/>
      <c r="AB71" s="2"/>
      <c r="AC71" s="2"/>
      <c r="AD71" s="2"/>
      <c r="AE71" s="7"/>
      <c r="AF71" s="18"/>
      <c r="AG71" s="7"/>
      <c r="AH71" s="2"/>
      <c r="AI71" s="1"/>
      <c r="AJ71" s="204"/>
      <c r="AK71" s="1"/>
      <c r="AL71" s="183"/>
      <c r="AM71" s="1"/>
      <c r="AN71" s="205"/>
      <c r="AO71" s="1"/>
      <c r="AP71" s="206"/>
      <c r="AQ71" s="1"/>
      <c r="AR71" s="213"/>
      <c r="AS71" s="213"/>
      <c r="AT71" s="213"/>
      <c r="AU71" s="302"/>
      <c r="AV71" s="208"/>
      <c r="AW71" s="208"/>
      <c r="AX71" s="209"/>
      <c r="AY71" s="1"/>
      <c r="AZ71" s="204"/>
      <c r="BA71" s="197"/>
      <c r="BB71" s="210"/>
      <c r="BC71" s="1"/>
      <c r="BD71" s="197"/>
      <c r="BE71" s="197"/>
      <c r="BF71" s="197"/>
      <c r="BG71" s="1"/>
      <c r="BH71" s="197"/>
      <c r="BI71" s="197"/>
      <c r="BJ71" s="211"/>
      <c r="BK71" s="1"/>
    </row>
    <row r="72" spans="1:63" ht="15.75" x14ac:dyDescent="0.25">
      <c r="A72" s="180" t="s">
        <v>60</v>
      </c>
      <c r="B72" s="252">
        <f t="shared" ref="B72:B83" si="89">+H72+J72+O72+Q72+V72+Z72+AI72+AK72+AM72+AO72+AQ72+AY72+BA72+BC72+BG72+BK72</f>
        <v>101</v>
      </c>
      <c r="C72" s="253">
        <f>RANK(B72,$B$72:$B$83)</f>
        <v>8</v>
      </c>
      <c r="D72" s="260">
        <f>'Lodge Rank by District'!E51</f>
        <v>83</v>
      </c>
      <c r="E72" s="9" t="str">
        <f>'Active &amp; Renewals'!C18</f>
        <v>687</v>
      </c>
      <c r="F72" s="9" t="str">
        <f>'Active &amp; Renewals'!D18</f>
        <v>748</v>
      </c>
      <c r="G72" s="2">
        <f t="shared" ref="G72:G83" si="90">+F72-E72</f>
        <v>61</v>
      </c>
      <c r="H72" s="252" cm="1">
        <f t="array" ref="H72">_xlfn.IFS(G72&gt;20,11,G72&gt;11,10,G72&gt;2,9,G72&gt;0,8,G72&gt;-6,7,G72&gt;-11,6,G72&gt;-16,5,G72&gt;-21,4,G72&gt;-26,3,G72&gt;-31,2,G72&gt;-36,1,TRUE,0)</f>
        <v>11</v>
      </c>
      <c r="I72" s="113" t="str">
        <f>'Active &amp; Renewals'!E18</f>
        <v>80.35</v>
      </c>
      <c r="J72" s="252" cm="1">
        <f t="array" ref="J72">_xlfn.IFS(VALUE(I72)&gt;=90.5,11,VALUE(I72)&gt;=85.5,10,VALUE(I72)&gt;=80.5,9,VALUE(I72)&gt;=75.5,8,VALUE(I72)&gt;=74.5,7,VALUE(I72)&gt;=70.5,6,VALUE(I72)&gt;=64.5,5,VALUE(I72)&gt;=60.5,4,VALUE(I72)&gt;=54.5,3,VALUE(I72)&gt;=50.5,2,VALUE(I72)&gt;=44.5,1,TRUE,0)</f>
        <v>8</v>
      </c>
      <c r="K72" s="195">
        <v>2900</v>
      </c>
      <c r="L72" s="195">
        <f>Donations!B17</f>
        <v>5100</v>
      </c>
      <c r="M72" s="267">
        <f t="shared" ref="M72:M83" si="91">+L72-K72</f>
        <v>2200</v>
      </c>
      <c r="N72" s="268">
        <f t="shared" ref="N72:N83" si="92">+L72/K72</f>
        <v>1.7586206896551724</v>
      </c>
      <c r="O72" s="252" cm="1">
        <f t="array" ref="O72">_xlfn.IFS(N72&gt;=115.5%,11,N72&gt;=110.5%,10,N72&gt;=100.5%,9,N72&gt;=99.5%,8,N72&gt;=89.5%,7,N72&gt;=75.5%,6,N72&gt;=60.5%,5,N72&gt;=45.5%,4,N72&gt;=30.5%,3,N72&gt;=15.5%,2,N72&gt;=0.5%,1,TRUE,0)</f>
        <v>11</v>
      </c>
      <c r="P72" s="12">
        <f t="shared" ref="P72:P83" si="93">+L72/E72</f>
        <v>7.4235807860262009</v>
      </c>
      <c r="Q72" s="252" cm="1">
        <f t="array" ref="Q72">_xlfn.IFS(P72&gt;10,11,P72&gt;=8.01,10,P72&gt;=6.01,9,P72&gt;=4.01,8,P72=4,7,P72&gt;=3.01,6,P72&gt;=2.01,5,P72&gt;=1.51,4,P72&gt;=1.01,3,P72&gt;=0.51,2,P72&gt;=0.01,1,TRUE,0)</f>
        <v>9</v>
      </c>
      <c r="R72" s="269">
        <v>2061</v>
      </c>
      <c r="S72" s="184">
        <f>Donations!C17</f>
        <v>300</v>
      </c>
      <c r="T72" s="279">
        <f t="shared" ref="T72:T83" si="94">+S72/(R72/3)</f>
        <v>0.4366812227074236</v>
      </c>
      <c r="U72" s="10">
        <f t="shared" ref="U72:U83" si="95">+S72-R72</f>
        <v>-1761</v>
      </c>
      <c r="V72" s="252" cm="1">
        <f t="array" ref="V72">_xlfn.IFS(T72&gt;=120%,11,T72&gt;=110.5%,10,T72&gt;=100.5%,9,T72&gt;99.9%,8,T72&gt;=85.5%,7,T72&gt;=72.5%,6,T72&gt;=65.5%,5,T72&gt;=55.5%,4,T72&gt;=45.5%,3,T72&gt;=35.5%,2,T72&gt;=20.5%,1,TRUE,0)</f>
        <v>2</v>
      </c>
      <c r="W72" s="269">
        <f t="shared" ref="W72:W83" si="96">E72*0.15</f>
        <v>103.05</v>
      </c>
      <c r="X72" s="184">
        <f>Donations!D17</f>
        <v>0</v>
      </c>
      <c r="Y72" s="269">
        <f t="shared" ref="Y72:Y83" si="97">+X72/E72</f>
        <v>0</v>
      </c>
      <c r="Z72" s="252" cm="1">
        <f t="array" ref="Z72">_xlfn.IFS(Y72&gt;=0.26,11,Y72&gt;=0.21,10,Y72&gt;=0.16,9,Y72=0.15,8,Y72=0.14,7,Y72=0.13,6,Y72&gt;=0.11,5,Y72&gt;=0.09,4,Y72&gt;=0.07,3,Y72&gt;=0.04,2,Y72&gt;=0.01,1,TRUE,0)</f>
        <v>0</v>
      </c>
      <c r="AA72" s="294" t="str">
        <f>'Active &amp; Renewals'!F18</f>
        <v>NO GRADE</v>
      </c>
      <c r="AB72" s="281" cm="1">
        <f t="array" ref="AB72">_xlfn.IFS(AA72="SUPERIOR",11,AA72="EXCELLENT",9,AA72="GOOD",7,AA72="LATE",5,AA72="NO GRADE",3,AA72="NA",2,AA72="NO REPORT",0)</f>
        <v>3</v>
      </c>
      <c r="AC72" s="294" t="str">
        <f>'Active &amp; Renewals'!H18</f>
        <v>SUPERIOR</v>
      </c>
      <c r="AD72" s="281" cm="1">
        <f t="array" ref="AD72">_xlfn.IFS(AC72="SUPERIOR",11,AC72="EXCELLENT",9,AC72="GOOD",7,AC72="LATE",5,AC72="NO GRADE",3,AC72="NA",2,AC72="NO REPORT",0)</f>
        <v>11</v>
      </c>
      <c r="AE72" s="284" t="str">
        <f>'Active &amp; Renewals'!J18</f>
        <v>NO REPORT</v>
      </c>
      <c r="AF72" s="281" cm="1">
        <f t="array" ref="AF72">_xlfn.IFS(AE72="SUPERIOR",11,AE72="EXCELLENT",9,AE72="GOOD",7,AE72="LATE",5,AE72="NO GRADE",3,AE72="NA",2,AE72="NO REPORT",0)</f>
        <v>0</v>
      </c>
      <c r="AG72" s="284" t="str">
        <f>'Active &amp; Renewals'!L18</f>
        <v>NO REPORT</v>
      </c>
      <c r="AH72" s="281" cm="1">
        <f t="array" ref="AH72">_xlfn.IFS(AG72="SUPERIOR",11,AG72="EXCELLENT",9,AG72="GOOD",7,AG72="LATE",5,AG72="NO GRADE",3,AG72="NA",2,AG72="NO REPORT",0)</f>
        <v>0</v>
      </c>
      <c r="AI72" s="252">
        <f t="shared" ref="AI72:AI83" si="98">SUM(AB72+AD72+AF72+AH72)</f>
        <v>14</v>
      </c>
      <c r="AJ72" s="188" t="s">
        <v>653</v>
      </c>
      <c r="AK72" s="252" cm="1">
        <f t="array" ref="AK72">_xlfn.IFS(AJ72="8/8",11,AJ72="7/8",7,AJ72="6/8",6,AJ72="5/8",5,AJ72="4/8",4,AJ72="3/8",3,AJ72="2/8",2,AJ72="1/8",1,AJ72="0/8",0,TRUE,0)</f>
        <v>6</v>
      </c>
      <c r="AL72" s="189">
        <v>3</v>
      </c>
      <c r="AM72" s="300" cm="1">
        <f t="array" ref="AM72">_xlfn.IFS(AL72&gt;6,11,AL72&gt;=4,10,AL72&gt;=2,9,AL72=1,8,TRUE,0)</f>
        <v>9</v>
      </c>
      <c r="AN72" s="184">
        <f>Donations!E17</f>
        <v>0</v>
      </c>
      <c r="AO72" s="300" cm="1">
        <f t="array" ref="AO72">_xlfn.IFS(AN72&gt;125,11,AN72&gt;=116,10,AN72&gt;=101,9,AN72=100,8,AN72&gt;=86,7,AN72&gt;=71,6,AN72&gt;=61,5,AN72&gt;=51,4,AN72&gt;=41,3,AN72&gt;=26,2,AN72&gt;=1,1,TRUE,0)</f>
        <v>0</v>
      </c>
      <c r="AP72" s="190">
        <f>Donations!F17</f>
        <v>0</v>
      </c>
      <c r="AQ72" s="300" cm="1">
        <f t="array" ref="AQ72">_xlfn.IFS(AP72&gt;600,11,AP72&gt;=551,10,AP72&gt;=501,9,AP72=500,8,AP72&gt;=326,7,AP72&gt;=251,6,AP72&gt;=201,5,AP72&gt;=151,4,AP72&gt;=101,3,AP72&gt;=76,2,AP72&gt;=1,1,TRUE,0)</f>
        <v>0</v>
      </c>
      <c r="AR72" s="349">
        <v>5</v>
      </c>
      <c r="AS72" s="349">
        <v>2</v>
      </c>
      <c r="AT72" s="349">
        <v>5</v>
      </c>
      <c r="AU72" s="352">
        <f t="shared" ref="AU72" si="99">+AR72+AS72+AT72</f>
        <v>12</v>
      </c>
      <c r="AV72" s="191">
        <v>5</v>
      </c>
      <c r="AW72" s="187">
        <v>4</v>
      </c>
      <c r="AX72" s="187">
        <v>5</v>
      </c>
      <c r="AY72" s="252">
        <f t="shared" ref="AY72:AY83" si="100">+AV72+AW72+AX72</f>
        <v>14</v>
      </c>
      <c r="AZ72" s="192"/>
      <c r="BA72" s="181"/>
      <c r="BB72" s="193">
        <v>0</v>
      </c>
      <c r="BC72" s="252" cm="1">
        <f t="array" ref="BC72">_xlfn.IFS(BB72=0,11,TRUE,0)</f>
        <v>11</v>
      </c>
      <c r="BD72" s="183">
        <v>0</v>
      </c>
      <c r="BE72" s="183">
        <v>0</v>
      </c>
      <c r="BF72" s="183">
        <v>0</v>
      </c>
      <c r="BG72" s="252">
        <f t="shared" ref="BG72:BG83" si="101">SUM(BD72+BE72+BF72)</f>
        <v>0</v>
      </c>
      <c r="BH72" s="183">
        <v>3</v>
      </c>
      <c r="BI72" s="183">
        <v>0</v>
      </c>
      <c r="BJ72" s="183">
        <v>3</v>
      </c>
      <c r="BK72" s="252">
        <f t="shared" ref="BK72:BK83" si="102">SUM(BH72+BI72+BJ72)</f>
        <v>6</v>
      </c>
    </row>
    <row r="73" spans="1:63" ht="15.75" x14ac:dyDescent="0.25">
      <c r="A73" s="180" t="s">
        <v>59</v>
      </c>
      <c r="B73" s="252">
        <f t="shared" si="89"/>
        <v>100</v>
      </c>
      <c r="C73" s="253">
        <f t="shared" ref="C73:C83" si="103">RANK(B73,$B$72:$B$83)</f>
        <v>9</v>
      </c>
      <c r="D73" s="260">
        <f>'Lodge Rank by District'!E52</f>
        <v>85</v>
      </c>
      <c r="E73" s="9" t="str">
        <f>'Active &amp; Renewals'!C28</f>
        <v>271</v>
      </c>
      <c r="F73" s="9" t="str">
        <f>'Active &amp; Renewals'!D28</f>
        <v>287</v>
      </c>
      <c r="G73" s="2">
        <f t="shared" si="90"/>
        <v>16</v>
      </c>
      <c r="H73" s="252" cm="1">
        <f t="array" ref="H73">_xlfn.IFS(G73&gt;20,11,G73&gt;11,10,G73&gt;2,9,G73&gt;0,8,G73&gt;-6,7,G73&gt;-11,6,G73&gt;-16,5,G73&gt;-21,4,G73&gt;-26,3,G73&gt;-31,2,G73&gt;-36,1,TRUE,0)</f>
        <v>10</v>
      </c>
      <c r="I73" s="113" t="str">
        <f>'Active &amp; Renewals'!E28</f>
        <v>86.62</v>
      </c>
      <c r="J73" s="252" cm="1">
        <f t="array" ref="J73">_xlfn.IFS(VALUE(I73)&gt;=90.5,11,VALUE(I73)&gt;=85.5,10,VALUE(I73)&gt;=80.5,9,VALUE(I73)&gt;=75.5,8,VALUE(I73)&gt;=74.5,7,VALUE(I73)&gt;=70.5,6,VALUE(I73)&gt;=64.5,5,VALUE(I73)&gt;=60.5,4,VALUE(I73)&gt;=54.5,3,VALUE(I73)&gt;=50.5,2,VALUE(I73)&gt;=44.5,1,TRUE,0)</f>
        <v>10</v>
      </c>
      <c r="K73" s="195">
        <v>171</v>
      </c>
      <c r="L73" s="195">
        <f>Donations!B84</f>
        <v>210.5</v>
      </c>
      <c r="M73" s="267">
        <f t="shared" si="91"/>
        <v>39.5</v>
      </c>
      <c r="N73" s="268">
        <f t="shared" si="92"/>
        <v>1.2309941520467835</v>
      </c>
      <c r="O73" s="252" cm="1">
        <f t="array" ref="O73">_xlfn.IFS(N73&gt;=115.5%,11,N73&gt;=110.5%,10,N73&gt;=100.5%,9,N73&gt;=99.5%,8,N73&gt;=89.5%,7,N73&gt;=75.5%,6,N73&gt;=60.5%,5,N73&gt;=45.5%,4,N73&gt;=30.5%,3,N73&gt;=15.5%,2,N73&gt;=0.5%,1,TRUE,0)</f>
        <v>11</v>
      </c>
      <c r="P73" s="12">
        <f t="shared" si="93"/>
        <v>0.7767527675276753</v>
      </c>
      <c r="Q73" s="252" cm="1">
        <f t="array" ref="Q73">_xlfn.IFS(P73&gt;10,11,P73&gt;=8.01,10,P73&gt;=6.01,9,P73&gt;=4.01,8,P73=4,7,P73&gt;=3.01,6,P73&gt;=2.01,5,P73&gt;=1.51,4,P73&gt;=1.01,3,P73&gt;=0.51,2,P73&gt;=0.01,1,TRUE,0)</f>
        <v>2</v>
      </c>
      <c r="R73" s="269">
        <v>813</v>
      </c>
      <c r="S73" s="184">
        <f>Donations!C84</f>
        <v>0</v>
      </c>
      <c r="T73" s="279">
        <f t="shared" si="94"/>
        <v>0</v>
      </c>
      <c r="U73" s="10">
        <f t="shared" si="95"/>
        <v>-813</v>
      </c>
      <c r="V73" s="252" cm="1">
        <f t="array" ref="V73">_xlfn.IFS(T73&gt;=120%,11,T73&gt;=110.5%,10,T73&gt;=100.5%,9,T73&gt;99.9%,8,T73&gt;=85.5%,7,T73&gt;=72.5%,6,T73&gt;=65.5%,5,T73&gt;=55.5%,4,T73&gt;=45.5%,3,T73&gt;=35.5%,2,T73&gt;=20.5%,1,TRUE,0)</f>
        <v>0</v>
      </c>
      <c r="W73" s="269">
        <f t="shared" si="96"/>
        <v>40.65</v>
      </c>
      <c r="X73" s="184">
        <f>Donations!D84</f>
        <v>0</v>
      </c>
      <c r="Y73" s="269">
        <f t="shared" si="97"/>
        <v>0</v>
      </c>
      <c r="Z73" s="252" cm="1">
        <f t="array" ref="Z73">_xlfn.IFS(Y73&gt;=0.26,11,Y73&gt;=0.21,10,Y73&gt;=0.16,9,Y73=0.15,8,Y73=0.14,7,Y73=0.13,6,Y73&gt;=0.11,5,Y73&gt;=0.09,4,Y73&gt;=0.07,3,Y73&gt;=0.04,2,Y73&gt;=0.01,1,TRUE,0)</f>
        <v>0</v>
      </c>
      <c r="AA73" s="294" t="str">
        <f>'Active &amp; Renewals'!F28</f>
        <v>SUPERIOR</v>
      </c>
      <c r="AB73" s="281" cm="1">
        <f t="array" ref="AB73">_xlfn.IFS(AA73="SUPERIOR",11,AA73="EXCELLENT",9,AA73="GOOD",7,AA73="LATE",5,AA73="NO GRADE",3,AA73="NA",2,AA73="NO REPORT",0)</f>
        <v>11</v>
      </c>
      <c r="AC73" s="294" t="str">
        <f>'Active &amp; Renewals'!H28</f>
        <v>SUPERIOR</v>
      </c>
      <c r="AD73" s="281" cm="1">
        <f t="array" ref="AD73">_xlfn.IFS(AC73="SUPERIOR",11,AC73="EXCELLENT",9,AC73="GOOD",7,AC73="LATE",5,AC73="NO GRADE",3,AC73="NA",2,AC73="NO REPORT",0)</f>
        <v>11</v>
      </c>
      <c r="AE73" s="284" t="str">
        <f>'Active &amp; Renewals'!J28</f>
        <v>NO REPORT</v>
      </c>
      <c r="AF73" s="281" cm="1">
        <f t="array" ref="AF73">_xlfn.IFS(AE73="SUPERIOR",11,AE73="EXCELLENT",9,AE73="GOOD",7,AE73="LATE",5,AE73="NO GRADE",3,AE73="NA",2,AE73="NO REPORT",0)</f>
        <v>0</v>
      </c>
      <c r="AG73" s="284" t="str">
        <f>'Active &amp; Renewals'!L28</f>
        <v>NO REPORT</v>
      </c>
      <c r="AH73" s="281" cm="1">
        <f t="array" ref="AH73">_xlfn.IFS(AG73="SUPERIOR",11,AG73="EXCELLENT",9,AG73="GOOD",7,AG73="LATE",5,AG73="NO GRADE",3,AG73="NA",2,AG73="NO REPORT",0)</f>
        <v>0</v>
      </c>
      <c r="AI73" s="252">
        <f t="shared" si="98"/>
        <v>22</v>
      </c>
      <c r="AJ73" s="188" t="s">
        <v>657</v>
      </c>
      <c r="AK73" s="252" cm="1">
        <f t="array" ref="AK73">_xlfn.IFS(AJ73="8/8",11,AJ73="7/8",7,AJ73="6/8",6,AJ73="5/8",5,AJ73="4/8",4,AJ73="3/8",3,AJ73="2/8",2,AJ73="1/8",1,AJ73="0/8",0,TRUE,0)</f>
        <v>3</v>
      </c>
      <c r="AL73" s="189">
        <v>0</v>
      </c>
      <c r="AM73" s="300" cm="1">
        <f t="array" ref="AM73">_xlfn.IFS(AL73&gt;6,11,AL73&gt;=4,10,AL73&gt;=2,9,AL73=1,8,TRUE,0)</f>
        <v>0</v>
      </c>
      <c r="AN73" s="184">
        <f>Donations!E84</f>
        <v>0</v>
      </c>
      <c r="AO73" s="300" cm="1">
        <f t="array" ref="AO73">_xlfn.IFS(AN73&gt;125,11,AN73&gt;=116,10,AN73&gt;=101,9,AN73=100,8,AN73&gt;=86,7,AN73&gt;=71,6,AN73&gt;=61,5,AN73&gt;=51,4,AN73&gt;=41,3,AN73&gt;=26,2,AN73&gt;=1,1,TRUE,0)</f>
        <v>0</v>
      </c>
      <c r="AP73" s="190">
        <f>Donations!F84</f>
        <v>0</v>
      </c>
      <c r="AQ73" s="300" cm="1">
        <f t="array" ref="AQ73">_xlfn.IFS(AP73&gt;600,11,AP73&gt;=551,10,AP73&gt;=501,9,AP73=500,8,AP73&gt;=326,7,AP73&gt;=251,6,AP73&gt;=201,5,AP73&gt;=151,4,AP73&gt;=101,3,AP73&gt;=76,2,AP73&gt;=1,1,TRUE,0)</f>
        <v>0</v>
      </c>
      <c r="AR73" s="350"/>
      <c r="AS73" s="350"/>
      <c r="AT73" s="350"/>
      <c r="AU73" s="353"/>
      <c r="AV73" s="191">
        <v>4</v>
      </c>
      <c r="AW73" s="187">
        <v>1</v>
      </c>
      <c r="AX73" s="187">
        <v>5</v>
      </c>
      <c r="AY73" s="252">
        <f t="shared" si="100"/>
        <v>10</v>
      </c>
      <c r="AZ73" s="192"/>
      <c r="BA73" s="181"/>
      <c r="BB73" s="193">
        <v>0</v>
      </c>
      <c r="BC73" s="252" cm="1">
        <f t="array" ref="BC73">_xlfn.IFS(BB73=0,11,TRUE,0)</f>
        <v>11</v>
      </c>
      <c r="BD73" s="183">
        <v>4</v>
      </c>
      <c r="BE73" s="183">
        <v>4</v>
      </c>
      <c r="BF73" s="183">
        <v>4</v>
      </c>
      <c r="BG73" s="252">
        <f t="shared" si="101"/>
        <v>12</v>
      </c>
      <c r="BH73" s="183">
        <v>3</v>
      </c>
      <c r="BI73" s="183">
        <v>3</v>
      </c>
      <c r="BJ73" s="183">
        <v>3</v>
      </c>
      <c r="BK73" s="252">
        <f t="shared" si="102"/>
        <v>9</v>
      </c>
    </row>
    <row r="74" spans="1:63" ht="15.75" x14ac:dyDescent="0.25">
      <c r="A74" s="180" t="s">
        <v>58</v>
      </c>
      <c r="B74" s="252">
        <f t="shared" si="89"/>
        <v>77</v>
      </c>
      <c r="C74" s="253">
        <f t="shared" si="103"/>
        <v>11</v>
      </c>
      <c r="D74" s="260">
        <f>'Lodge Rank by District'!E53</f>
        <v>95</v>
      </c>
      <c r="E74" s="9" t="str">
        <f>'Active &amp; Renewals'!C29</f>
        <v>264</v>
      </c>
      <c r="F74" s="9" t="str">
        <f>'Active &amp; Renewals'!D29</f>
        <v>251</v>
      </c>
      <c r="G74" s="2">
        <f t="shared" si="90"/>
        <v>-13</v>
      </c>
      <c r="H74" s="252" cm="1">
        <f t="array" ref="H74">_xlfn.IFS(G74&gt;20,11,G74&gt;11,10,G74&gt;2,9,G74&gt;0,8,G74&gt;-6,7,G74&gt;-11,6,G74&gt;-16,5,G74&gt;-21,4,G74&gt;-26,3,G74&gt;-31,2,G74&gt;-36,1,TRUE,0)</f>
        <v>5</v>
      </c>
      <c r="I74" s="113" t="str">
        <f>'Active &amp; Renewals'!E29</f>
        <v>83.27</v>
      </c>
      <c r="J74" s="252" cm="1">
        <f t="array" ref="J74">_xlfn.IFS(VALUE(I74)&gt;=90.5,11,VALUE(I74)&gt;=85.5,10,VALUE(I74)&gt;=80.5,9,VALUE(I74)&gt;=75.5,8,VALUE(I74)&gt;=74.5,7,VALUE(I74)&gt;=70.5,6,VALUE(I74)&gt;=64.5,5,VALUE(I74)&gt;=60.5,4,VALUE(I74)&gt;=54.5,3,VALUE(I74)&gt;=50.5,2,VALUE(I74)&gt;=44.5,1,TRUE,0)</f>
        <v>9</v>
      </c>
      <c r="K74" s="195">
        <v>925</v>
      </c>
      <c r="L74" s="195">
        <f>Donations!B72</f>
        <v>690</v>
      </c>
      <c r="M74" s="267">
        <f t="shared" si="91"/>
        <v>-235</v>
      </c>
      <c r="N74" s="268">
        <f t="shared" si="92"/>
        <v>0.74594594594594599</v>
      </c>
      <c r="O74" s="252" cm="1">
        <f t="array" ref="O74">_xlfn.IFS(N74&gt;=115.5%,11,N74&gt;=110.5%,10,N74&gt;=100.5%,9,N74&gt;=99.5%,8,N74&gt;=89.5%,7,N74&gt;=75.5%,6,N74&gt;=60.5%,5,N74&gt;=45.5%,4,N74&gt;=30.5%,3,N74&gt;=15.5%,2,N74&gt;=0.5%,1,TRUE,0)</f>
        <v>5</v>
      </c>
      <c r="P74" s="12">
        <f t="shared" si="93"/>
        <v>2.6136363636363638</v>
      </c>
      <c r="Q74" s="252" cm="1">
        <f t="array" ref="Q74">_xlfn.IFS(P74&gt;10,11,P74&gt;=8.01,10,P74&gt;=6.01,9,P74&gt;=4.01,8,P74=4,7,P74&gt;=3.01,6,P74&gt;=2.01,5,P74&gt;=1.51,4,P74&gt;=1.01,3,P74&gt;=0.51,2,P74&gt;=0.01,1,TRUE,0)</f>
        <v>5</v>
      </c>
      <c r="R74" s="269">
        <v>792</v>
      </c>
      <c r="S74" s="184">
        <f>Donations!C72</f>
        <v>50</v>
      </c>
      <c r="T74" s="279">
        <f t="shared" si="94"/>
        <v>0.18939393939393939</v>
      </c>
      <c r="U74" s="10">
        <f t="shared" si="95"/>
        <v>-742</v>
      </c>
      <c r="V74" s="252" cm="1">
        <f t="array" ref="V74">_xlfn.IFS(T74&gt;=120%,11,T74&gt;=110.5%,10,T74&gt;=100.5%,9,T74&gt;99.9%,8,T74&gt;=85.5%,7,T74&gt;=72.5%,6,T74&gt;=65.5%,5,T74&gt;=55.5%,4,T74&gt;=45.5%,3,T74&gt;=35.5%,2,T74&gt;=20.5%,1,TRUE,0)</f>
        <v>0</v>
      </c>
      <c r="W74" s="269">
        <f t="shared" si="96"/>
        <v>39.6</v>
      </c>
      <c r="X74" s="184">
        <f>Donations!D72</f>
        <v>0</v>
      </c>
      <c r="Y74" s="269">
        <f t="shared" si="97"/>
        <v>0</v>
      </c>
      <c r="Z74" s="252" cm="1">
        <f t="array" ref="Z74">_xlfn.IFS(Y74&gt;=0.26,11,Y74&gt;=0.21,10,Y74&gt;=0.16,9,Y74=0.15,8,Y74=0.14,7,Y74=0.13,6,Y74&gt;=0.11,5,Y74&gt;=0.09,4,Y74&gt;=0.07,3,Y74&gt;=0.04,2,Y74&gt;=0.01,1,TRUE,0)</f>
        <v>0</v>
      </c>
      <c r="AA74" s="294" t="str">
        <f>'Active &amp; Renewals'!F29</f>
        <v>NO GRADE</v>
      </c>
      <c r="AB74" s="281" cm="1">
        <f t="array" ref="AB74">_xlfn.IFS(AA74="SUPERIOR",11,AA74="EXCELLENT",9,AA74="GOOD",7,AA74="LATE",5,AA74="NO GRADE",3,AA74="NA",2,AA74="NO REPORT",0)</f>
        <v>3</v>
      </c>
      <c r="AC74" s="294" t="str">
        <f>'Active &amp; Renewals'!H29</f>
        <v>EXCELLENT</v>
      </c>
      <c r="AD74" s="281" cm="1">
        <f t="array" ref="AD74">_xlfn.IFS(AC74="SUPERIOR",11,AC74="EXCELLENT",9,AC74="GOOD",7,AC74="LATE",5,AC74="NO GRADE",3,AC74="NA",2,AC74="NO REPORT",0)</f>
        <v>9</v>
      </c>
      <c r="AE74" s="284" t="str">
        <f>'Active &amp; Renewals'!J29</f>
        <v>NO REPORT</v>
      </c>
      <c r="AF74" s="281" cm="1">
        <f t="array" ref="AF74">_xlfn.IFS(AE74="SUPERIOR",11,AE74="EXCELLENT",9,AE74="GOOD",7,AE74="LATE",5,AE74="NO GRADE",3,AE74="NA",2,AE74="NO REPORT",0)</f>
        <v>0</v>
      </c>
      <c r="AG74" s="284" t="str">
        <f>'Active &amp; Renewals'!L29</f>
        <v>NO REPORT</v>
      </c>
      <c r="AH74" s="281" cm="1">
        <f t="array" ref="AH74">_xlfn.IFS(AG74="SUPERIOR",11,AG74="EXCELLENT",9,AG74="GOOD",7,AG74="LATE",5,AG74="NO GRADE",3,AG74="NA",2,AG74="NO REPORT",0)</f>
        <v>0</v>
      </c>
      <c r="AI74" s="252">
        <f t="shared" si="98"/>
        <v>12</v>
      </c>
      <c r="AJ74" s="188" t="s">
        <v>653</v>
      </c>
      <c r="AK74" s="252" cm="1">
        <f t="array" ref="AK74">_xlfn.IFS(AJ74="8/8",11,AJ74="7/8",7,AJ74="6/8",6,AJ74="5/8",5,AJ74="4/8",4,AJ74="3/8",3,AJ74="2/8",2,AJ74="1/8",1,AJ74="0/8",0,TRUE,0)</f>
        <v>6</v>
      </c>
      <c r="AL74" s="189">
        <v>1</v>
      </c>
      <c r="AM74" s="300" cm="1">
        <f t="array" ref="AM74">_xlfn.IFS(AL74&gt;6,11,AL74&gt;=4,10,AL74&gt;=2,9,AL74=1,8,TRUE,0)</f>
        <v>8</v>
      </c>
      <c r="AN74" s="184">
        <f>Donations!E72</f>
        <v>0</v>
      </c>
      <c r="AO74" s="300" cm="1">
        <f t="array" ref="AO74">_xlfn.IFS(AN74&gt;125,11,AN74&gt;=116,10,AN74&gt;=101,9,AN74=100,8,AN74&gt;=86,7,AN74&gt;=71,6,AN74&gt;=61,5,AN74&gt;=51,4,AN74&gt;=41,3,AN74&gt;=26,2,AN74&gt;=1,1,TRUE,0)</f>
        <v>0</v>
      </c>
      <c r="AP74" s="190">
        <f>Donations!F72</f>
        <v>0</v>
      </c>
      <c r="AQ74" s="300" cm="1">
        <f t="array" ref="AQ74">_xlfn.IFS(AP74&gt;600,11,AP74&gt;=551,10,AP74&gt;=501,9,AP74=500,8,AP74&gt;=326,7,AP74&gt;=251,6,AP74&gt;=201,5,AP74&gt;=151,4,AP74&gt;=101,3,AP74&gt;=76,2,AP74&gt;=1,1,TRUE,0)</f>
        <v>0</v>
      </c>
      <c r="AR74" s="350"/>
      <c r="AS74" s="350"/>
      <c r="AT74" s="350"/>
      <c r="AU74" s="353"/>
      <c r="AV74" s="191">
        <v>5</v>
      </c>
      <c r="AW74" s="187">
        <v>0</v>
      </c>
      <c r="AX74" s="187">
        <v>4</v>
      </c>
      <c r="AY74" s="252">
        <f t="shared" si="100"/>
        <v>9</v>
      </c>
      <c r="AZ74" s="192"/>
      <c r="BA74" s="181"/>
      <c r="BB74" s="193">
        <v>0</v>
      </c>
      <c r="BC74" s="252" cm="1">
        <f t="array" ref="BC74">_xlfn.IFS(BB74=0,11,TRUE,0)</f>
        <v>11</v>
      </c>
      <c r="BD74" s="183">
        <v>3</v>
      </c>
      <c r="BE74" s="183">
        <v>0</v>
      </c>
      <c r="BF74" s="183">
        <v>2</v>
      </c>
      <c r="BG74" s="252">
        <f t="shared" si="101"/>
        <v>5</v>
      </c>
      <c r="BH74" s="183">
        <v>2</v>
      </c>
      <c r="BI74" s="183">
        <v>0</v>
      </c>
      <c r="BJ74" s="183">
        <v>0</v>
      </c>
      <c r="BK74" s="252">
        <f t="shared" si="102"/>
        <v>2</v>
      </c>
    </row>
    <row r="75" spans="1:63" ht="15.75" x14ac:dyDescent="0.25">
      <c r="A75" s="180" t="s">
        <v>57</v>
      </c>
      <c r="B75" s="252">
        <f t="shared" si="89"/>
        <v>133</v>
      </c>
      <c r="C75" s="253">
        <f t="shared" si="103"/>
        <v>4</v>
      </c>
      <c r="D75" s="260">
        <f>'Lodge Rank by District'!E54</f>
        <v>42</v>
      </c>
      <c r="E75" s="9" t="str">
        <f>'Active &amp; Renewals'!C36</f>
        <v>889</v>
      </c>
      <c r="F75" s="9" t="str">
        <f>'Active &amp; Renewals'!D36</f>
        <v>931</v>
      </c>
      <c r="G75" s="2">
        <f t="shared" si="90"/>
        <v>42</v>
      </c>
      <c r="H75" s="252" cm="1">
        <f t="array" ref="H75">_xlfn.IFS(G75&gt;20,11,G75&gt;11,10,G75&gt;2,9,G75&gt;0,8,G75&gt;-6,7,G75&gt;-11,6,G75&gt;-16,5,G75&gt;-21,4,G75&gt;-26,3,G75&gt;-31,2,G75&gt;-36,1,TRUE,0)</f>
        <v>11</v>
      </c>
      <c r="I75" s="113" t="str">
        <f>'Active &amp; Renewals'!E36</f>
        <v>88.75</v>
      </c>
      <c r="J75" s="252" cm="1">
        <f t="array" ref="J75">_xlfn.IFS(VALUE(I75)&gt;=90.5,11,VALUE(I75)&gt;=85.5,10,VALUE(I75)&gt;=80.5,9,VALUE(I75)&gt;=75.5,8,VALUE(I75)&gt;=74.5,7,VALUE(I75)&gt;=70.5,6,VALUE(I75)&gt;=64.5,5,VALUE(I75)&gt;=60.5,4,VALUE(I75)&gt;=54.5,3,VALUE(I75)&gt;=50.5,2,VALUE(I75)&gt;=44.5,1,TRUE,0)</f>
        <v>10</v>
      </c>
      <c r="K75" s="195">
        <v>4100</v>
      </c>
      <c r="L75" s="195">
        <f>Donations!B8</f>
        <v>2400</v>
      </c>
      <c r="M75" s="267">
        <f t="shared" si="91"/>
        <v>-1700</v>
      </c>
      <c r="N75" s="268">
        <f t="shared" si="92"/>
        <v>0.58536585365853655</v>
      </c>
      <c r="O75" s="252" cm="1">
        <f t="array" ref="O75">_xlfn.IFS(N75&gt;=115.5%,11,N75&gt;=110.5%,10,N75&gt;=100.5%,9,N75&gt;=99.5%,8,N75&gt;=89.5%,7,N75&gt;=75.5%,6,N75&gt;=60.5%,5,N75&gt;=45.5%,4,N75&gt;=30.5%,3,N75&gt;=15.5%,2,N75&gt;=0.5%,1,TRUE,0)</f>
        <v>4</v>
      </c>
      <c r="P75" s="12">
        <f t="shared" si="93"/>
        <v>2.6996625421822271</v>
      </c>
      <c r="Q75" s="252" cm="1">
        <f t="array" ref="Q75">_xlfn.IFS(P75&gt;10,11,P75&gt;=8.01,10,P75&gt;=6.01,9,P75&gt;=4.01,8,P75=4,7,P75&gt;=3.01,6,P75&gt;=2.01,5,P75&gt;=1.51,4,P75&gt;=1.01,3,P75&gt;=0.51,2,P75&gt;=0.01,1,TRUE,0)</f>
        <v>5</v>
      </c>
      <c r="R75" s="269">
        <v>2667</v>
      </c>
      <c r="S75" s="184">
        <f>Donations!C8</f>
        <v>2667</v>
      </c>
      <c r="T75" s="279">
        <f t="shared" si="94"/>
        <v>3</v>
      </c>
      <c r="U75" s="10">
        <f t="shared" si="95"/>
        <v>0</v>
      </c>
      <c r="V75" s="252" cm="1">
        <f t="array" ref="V75">_xlfn.IFS(T75&gt;=120%,11,T75&gt;=110.5%,10,T75&gt;=100.5%,9,T75&gt;99.9%,8,T75&gt;=85.5%,7,T75&gt;=72.5%,6,T75&gt;=65.5%,5,T75&gt;=55.5%,4,T75&gt;=45.5%,3,T75&gt;=35.5%,2,T75&gt;=20.5%,1,TRUE,0)</f>
        <v>11</v>
      </c>
      <c r="W75" s="269">
        <f t="shared" si="96"/>
        <v>133.35</v>
      </c>
      <c r="X75" s="184">
        <f>Donations!D8</f>
        <v>500</v>
      </c>
      <c r="Y75" s="269">
        <f t="shared" si="97"/>
        <v>0.56242969628796402</v>
      </c>
      <c r="Z75" s="252" cm="1">
        <f t="array" ref="Z75">_xlfn.IFS(Y75&gt;=0.26,11,Y75&gt;=0.21,10,Y75&gt;=0.16,9,Y75=0.15,8,Y75=0.14,7,Y75=0.13,6,Y75&gt;=0.11,5,Y75&gt;=0.09,4,Y75&gt;=0.07,3,Y75&gt;=0.04,2,Y75&gt;=0.01,1,TRUE,0)</f>
        <v>11</v>
      </c>
      <c r="AA75" s="294" t="str">
        <f>'Active &amp; Renewals'!F36</f>
        <v>EXCELLENT</v>
      </c>
      <c r="AB75" s="281" cm="1">
        <f t="array" ref="AB75">_xlfn.IFS(AA75="SUPERIOR",11,AA75="EXCELLENT",9,AA75="GOOD",7,AA75="LATE",5,AA75="NO GRADE",3,AA75="NA",2,AA75="NO REPORT",0)</f>
        <v>9</v>
      </c>
      <c r="AC75" s="294" t="str">
        <f>'Active &amp; Renewals'!H36</f>
        <v>SUPERIOR</v>
      </c>
      <c r="AD75" s="281" cm="1">
        <f t="array" ref="AD75">_xlfn.IFS(AC75="SUPERIOR",11,AC75="EXCELLENT",9,AC75="GOOD",7,AC75="LATE",5,AC75="NO GRADE",3,AC75="NA",2,AC75="NO REPORT",0)</f>
        <v>11</v>
      </c>
      <c r="AE75" s="284" t="str">
        <f>'Active &amp; Renewals'!J36</f>
        <v>NO REPORT</v>
      </c>
      <c r="AF75" s="281" cm="1">
        <f t="array" ref="AF75">_xlfn.IFS(AE75="SUPERIOR",11,AE75="EXCELLENT",9,AE75="GOOD",7,AE75="LATE",5,AE75="NO GRADE",3,AE75="NA",2,AE75="NO REPORT",0)</f>
        <v>0</v>
      </c>
      <c r="AG75" s="284" t="str">
        <f>'Active &amp; Renewals'!L36</f>
        <v>NO REPORT</v>
      </c>
      <c r="AH75" s="281" cm="1">
        <f t="array" ref="AH75">_xlfn.IFS(AG75="SUPERIOR",11,AG75="EXCELLENT",9,AG75="GOOD",7,AG75="LATE",5,AG75="NO GRADE",3,AG75="NA",2,AG75="NO REPORT",0)</f>
        <v>0</v>
      </c>
      <c r="AI75" s="252">
        <f t="shared" si="98"/>
        <v>20</v>
      </c>
      <c r="AJ75" s="188" t="s">
        <v>653</v>
      </c>
      <c r="AK75" s="252" cm="1">
        <f t="array" ref="AK75">_xlfn.IFS(AJ75="8/8",11,AJ75="7/8",7,AJ75="6/8",6,AJ75="5/8",5,AJ75="4/8",4,AJ75="3/8",3,AJ75="2/8",2,AJ75="1/8",1,AJ75="0/8",0,TRUE,0)</f>
        <v>6</v>
      </c>
      <c r="AL75" s="189">
        <v>4</v>
      </c>
      <c r="AM75" s="300" cm="1">
        <f t="array" ref="AM75">_xlfn.IFS(AL75&gt;6,11,AL75&gt;=4,10,AL75&gt;=2,9,AL75=1,8,TRUE,0)</f>
        <v>10</v>
      </c>
      <c r="AN75" s="184">
        <f>Donations!E8</f>
        <v>500</v>
      </c>
      <c r="AO75" s="300" cm="1">
        <f t="array" ref="AO75">_xlfn.IFS(AN75&gt;125,11,AN75&gt;=116,10,AN75&gt;=101,9,AN75=100,8,AN75&gt;=86,7,AN75&gt;=71,6,AN75&gt;=61,5,AN75&gt;=51,4,AN75&gt;=41,3,AN75&gt;=26,2,AN75&gt;=1,1,TRUE,0)</f>
        <v>11</v>
      </c>
      <c r="AP75" s="190">
        <v>100</v>
      </c>
      <c r="AQ75" s="300" cm="1">
        <f t="array" ref="AQ75">_xlfn.IFS(AP75&gt;600,11,AP75&gt;=551,10,AP75&gt;=501,9,AP75=500,8,AP75&gt;=326,7,AP75&gt;=251,6,AP75&gt;=201,5,AP75&gt;=151,4,AP75&gt;=101,3,AP75&gt;=76,2,AP75&gt;=1,1,TRUE,0)</f>
        <v>2</v>
      </c>
      <c r="AR75" s="350"/>
      <c r="AS75" s="350"/>
      <c r="AT75" s="350"/>
      <c r="AU75" s="353"/>
      <c r="AV75" s="191">
        <v>1</v>
      </c>
      <c r="AW75" s="187">
        <v>2</v>
      </c>
      <c r="AX75" s="187">
        <v>3</v>
      </c>
      <c r="AY75" s="252">
        <f t="shared" si="100"/>
        <v>6</v>
      </c>
      <c r="AZ75" s="192"/>
      <c r="BA75" s="181"/>
      <c r="BB75" s="193">
        <v>0</v>
      </c>
      <c r="BC75" s="252" cm="1">
        <f t="array" ref="BC75">_xlfn.IFS(BB75=0,11,TRUE,0)</f>
        <v>11</v>
      </c>
      <c r="BD75" s="183">
        <v>0</v>
      </c>
      <c r="BE75" s="183">
        <v>4</v>
      </c>
      <c r="BF75" s="183">
        <v>4</v>
      </c>
      <c r="BG75" s="252">
        <f t="shared" si="101"/>
        <v>8</v>
      </c>
      <c r="BH75" s="183">
        <v>2</v>
      </c>
      <c r="BI75" s="183">
        <v>2</v>
      </c>
      <c r="BJ75" s="183">
        <v>3</v>
      </c>
      <c r="BK75" s="252">
        <f t="shared" si="102"/>
        <v>7</v>
      </c>
    </row>
    <row r="76" spans="1:63" ht="15.75" x14ac:dyDescent="0.25">
      <c r="A76" s="180" t="s">
        <v>56</v>
      </c>
      <c r="B76" s="252">
        <f t="shared" si="89"/>
        <v>121</v>
      </c>
      <c r="C76" s="253">
        <f t="shared" si="103"/>
        <v>6</v>
      </c>
      <c r="D76" s="260">
        <f>'Lodge Rank by District'!E55</f>
        <v>59</v>
      </c>
      <c r="E76" s="9" t="str">
        <f>'Active &amp; Renewals'!C45</f>
        <v>518</v>
      </c>
      <c r="F76" s="9" t="str">
        <f>'Active &amp; Renewals'!D45</f>
        <v>463</v>
      </c>
      <c r="G76" s="2">
        <f t="shared" si="90"/>
        <v>-55</v>
      </c>
      <c r="H76" s="252" cm="1">
        <f t="array" ref="H76">_xlfn.IFS(G76&gt;20,11,G76&gt;11,10,G76&gt;2,9,G76&gt;0,8,G76&gt;-6,7,G76&gt;-11,6,G76&gt;-16,5,G76&gt;-21,4,G76&gt;-26,3,G76&gt;-31,2,G76&gt;-36,1,TRUE,0)</f>
        <v>0</v>
      </c>
      <c r="I76" s="113" t="str">
        <f>'Active &amp; Renewals'!E45</f>
        <v>82.01</v>
      </c>
      <c r="J76" s="252" cm="1">
        <f t="array" ref="J76">_xlfn.IFS(VALUE(I76)&gt;=90.5,11,VALUE(I76)&gt;=85.5,10,VALUE(I76)&gt;=80.5,9,VALUE(I76)&gt;=75.5,8,VALUE(I76)&gt;=74.5,7,VALUE(I76)&gt;=70.5,6,VALUE(I76)&gt;=64.5,5,VALUE(I76)&gt;=60.5,4,VALUE(I76)&gt;=54.5,3,VALUE(I76)&gt;=50.5,2,VALUE(I76)&gt;=44.5,1,TRUE,0)</f>
        <v>9</v>
      </c>
      <c r="K76" s="195">
        <v>3177</v>
      </c>
      <c r="L76" s="195">
        <f>Donations!B23</f>
        <v>2255.75</v>
      </c>
      <c r="M76" s="267">
        <f t="shared" si="91"/>
        <v>-921.25</v>
      </c>
      <c r="N76" s="268">
        <f t="shared" si="92"/>
        <v>0.71002518098835377</v>
      </c>
      <c r="O76" s="252" cm="1">
        <f t="array" ref="O76">_xlfn.IFS(N76&gt;=115.5%,11,N76&gt;=110.5%,10,N76&gt;=100.5%,9,N76&gt;=99.5%,8,N76&gt;=89.5%,7,N76&gt;=75.5%,6,N76&gt;=60.5%,5,N76&gt;=45.5%,4,N76&gt;=30.5%,3,N76&gt;=15.5%,2,N76&gt;=0.5%,1,TRUE,0)</f>
        <v>5</v>
      </c>
      <c r="P76" s="12">
        <f t="shared" si="93"/>
        <v>4.3547297297297298</v>
      </c>
      <c r="Q76" s="252" cm="1">
        <f t="array" ref="Q76">_xlfn.IFS(P76&gt;10,11,P76&gt;=8.01,10,P76&gt;=6.01,9,P76&gt;=4.01,8,P76=4,7,P76&gt;=3.01,6,P76&gt;=2.01,5,P76&gt;=1.51,4,P76&gt;=1.01,3,P76&gt;=0.51,2,P76&gt;=0.01,1,TRUE,0)</f>
        <v>8</v>
      </c>
      <c r="R76" s="269">
        <v>1554</v>
      </c>
      <c r="S76" s="184">
        <f>Donations!C23</f>
        <v>518</v>
      </c>
      <c r="T76" s="279">
        <f t="shared" si="94"/>
        <v>1</v>
      </c>
      <c r="U76" s="10">
        <f t="shared" si="95"/>
        <v>-1036</v>
      </c>
      <c r="V76" s="252" cm="1">
        <f t="array" ref="V76">_xlfn.IFS(T76&gt;=120%,11,T76&gt;=110.5%,10,T76&gt;=100.5%,9,T76&gt;99.9%,8,T76&gt;=85.5%,7,T76&gt;=72.5%,6,T76&gt;=65.5%,5,T76&gt;=55.5%,4,T76&gt;=45.5%,3,T76&gt;=35.5%,2,T76&gt;=20.5%,1,TRUE,0)</f>
        <v>8</v>
      </c>
      <c r="W76" s="269">
        <f t="shared" si="96"/>
        <v>77.7</v>
      </c>
      <c r="X76" s="184">
        <f>Donations!D23</f>
        <v>77.7</v>
      </c>
      <c r="Y76" s="269">
        <f t="shared" si="97"/>
        <v>0.15</v>
      </c>
      <c r="Z76" s="252" cm="1">
        <f t="array" ref="Z76">_xlfn.IFS(Y76&gt;=0.26,11,Y76&gt;=0.21,10,Y76&gt;=0.16,9,Y76=0.15,8,Y76=0.14,7,Y76=0.13,6,Y76&gt;=0.11,5,Y76&gt;=0.09,4,Y76&gt;=0.07,3,Y76&gt;=0.04,2,Y76&gt;=0.01,1,TRUE,0)</f>
        <v>8</v>
      </c>
      <c r="AA76" s="294" t="str">
        <f>'Active &amp; Renewals'!F45</f>
        <v>SUPERIOR</v>
      </c>
      <c r="AB76" s="281" cm="1">
        <f t="array" ref="AB76">_xlfn.IFS(AA76="SUPERIOR",11,AA76="EXCELLENT",9,AA76="GOOD",7,AA76="LATE",5,AA76="NO GRADE",3,AA76="NA",2,AA76="NO REPORT",0)</f>
        <v>11</v>
      </c>
      <c r="AC76" s="294" t="str">
        <f>'Active &amp; Renewals'!H45</f>
        <v>SUPERIOR</v>
      </c>
      <c r="AD76" s="281" cm="1">
        <f t="array" ref="AD76">_xlfn.IFS(AC76="SUPERIOR",11,AC76="EXCELLENT",9,AC76="GOOD",7,AC76="LATE",5,AC76="NO GRADE",3,AC76="NA",2,AC76="NO REPORT",0)</f>
        <v>11</v>
      </c>
      <c r="AE76" s="284" t="str">
        <f>'Active &amp; Renewals'!J45</f>
        <v>NO REPORT</v>
      </c>
      <c r="AF76" s="281" cm="1">
        <f t="array" ref="AF76">_xlfn.IFS(AE76="SUPERIOR",11,AE76="EXCELLENT",9,AE76="GOOD",7,AE76="LATE",5,AE76="NO GRADE",3,AE76="NA",2,AE76="NO REPORT",0)</f>
        <v>0</v>
      </c>
      <c r="AG76" s="284" t="str">
        <f>'Active &amp; Renewals'!L45</f>
        <v>NO REPORT</v>
      </c>
      <c r="AH76" s="281" cm="1">
        <f t="array" ref="AH76">_xlfn.IFS(AG76="SUPERIOR",11,AG76="EXCELLENT",9,AG76="GOOD",7,AG76="LATE",5,AG76="NO GRADE",3,AG76="NA",2,AG76="NO REPORT",0)</f>
        <v>0</v>
      </c>
      <c r="AI76" s="252">
        <f t="shared" si="98"/>
        <v>22</v>
      </c>
      <c r="AJ76" s="188" t="s">
        <v>656</v>
      </c>
      <c r="AK76" s="252" cm="1">
        <f t="array" ref="AK76">_xlfn.IFS(AJ76="8/8",11,AJ76="7/8",7,AJ76="6/8",6,AJ76="5/8",5,AJ76="4/8",4,AJ76="3/8",3,AJ76="2/8",2,AJ76="1/8",1,AJ76="0/8",0,TRUE,0)</f>
        <v>7</v>
      </c>
      <c r="AL76" s="189">
        <v>1</v>
      </c>
      <c r="AM76" s="300" cm="1">
        <f t="array" ref="AM76">_xlfn.IFS(AL76&gt;6,11,AL76&gt;=4,10,AL76&gt;=2,9,AL76=1,8,TRUE,0)</f>
        <v>8</v>
      </c>
      <c r="AN76" s="184">
        <f>Donations!E23</f>
        <v>100</v>
      </c>
      <c r="AO76" s="300" cm="1">
        <f t="array" ref="AO76">_xlfn.IFS(AN76&gt;125,11,AN76&gt;=116,10,AN76&gt;=101,9,AN76=100,8,AN76&gt;=86,7,AN76&gt;=71,6,AN76&gt;=61,5,AN76&gt;=51,4,AN76&gt;=41,3,AN76&gt;=26,2,AN76&gt;=1,1,TRUE,0)</f>
        <v>8</v>
      </c>
      <c r="AP76" s="190">
        <f>Donations!F23</f>
        <v>0</v>
      </c>
      <c r="AQ76" s="300" cm="1">
        <f t="array" ref="AQ76">_xlfn.IFS(AP76&gt;600,11,AP76&gt;=551,10,AP76&gt;=501,9,AP76=500,8,AP76&gt;=326,7,AP76&gt;=251,6,AP76&gt;=201,5,AP76&gt;=151,4,AP76&gt;=101,3,AP76&gt;=76,2,AP76&gt;=1,1,TRUE,0)</f>
        <v>0</v>
      </c>
      <c r="AR76" s="350"/>
      <c r="AS76" s="350"/>
      <c r="AT76" s="350"/>
      <c r="AU76" s="353"/>
      <c r="AV76" s="191">
        <v>1</v>
      </c>
      <c r="AW76" s="187">
        <v>5</v>
      </c>
      <c r="AX76" s="187">
        <v>5</v>
      </c>
      <c r="AY76" s="252">
        <f t="shared" si="100"/>
        <v>11</v>
      </c>
      <c r="AZ76" s="192"/>
      <c r="BA76" s="181"/>
      <c r="BB76" s="193">
        <v>0</v>
      </c>
      <c r="BC76" s="252" cm="1">
        <f t="array" ref="BC76">_xlfn.IFS(BB76=0,11,TRUE,0)</f>
        <v>11</v>
      </c>
      <c r="BD76" s="183">
        <v>0</v>
      </c>
      <c r="BE76" s="183">
        <v>4</v>
      </c>
      <c r="BF76" s="183">
        <v>4</v>
      </c>
      <c r="BG76" s="252">
        <f t="shared" si="101"/>
        <v>8</v>
      </c>
      <c r="BH76" s="183">
        <v>2</v>
      </c>
      <c r="BI76" s="183">
        <v>3</v>
      </c>
      <c r="BJ76" s="183">
        <v>3</v>
      </c>
      <c r="BK76" s="252">
        <f t="shared" si="102"/>
        <v>8</v>
      </c>
    </row>
    <row r="77" spans="1:63" ht="15.75" x14ac:dyDescent="0.25">
      <c r="A77" s="180" t="s">
        <v>55</v>
      </c>
      <c r="B77" s="252">
        <f t="shared" si="89"/>
        <v>127</v>
      </c>
      <c r="C77" s="253">
        <f t="shared" si="103"/>
        <v>5</v>
      </c>
      <c r="D77" s="260">
        <f>'Lodge Rank by District'!E56</f>
        <v>50</v>
      </c>
      <c r="E77" s="9" t="str">
        <f>'Active &amp; Renewals'!C51</f>
        <v>763</v>
      </c>
      <c r="F77" s="9" t="str">
        <f>'Active &amp; Renewals'!D51</f>
        <v>861</v>
      </c>
      <c r="G77" s="2">
        <f t="shared" si="90"/>
        <v>98</v>
      </c>
      <c r="H77" s="252" cm="1">
        <f t="array" ref="H77">_xlfn.IFS(G77&gt;20,11,G77&gt;11,10,G77&gt;2,9,G77&gt;0,8,G77&gt;-6,7,G77&gt;-11,6,G77&gt;-16,5,G77&gt;-21,4,G77&gt;-26,3,G77&gt;-31,2,G77&gt;-36,1,TRUE,0)</f>
        <v>11</v>
      </c>
      <c r="I77" s="113" t="str">
        <f>'Active &amp; Renewals'!E51</f>
        <v>88.06</v>
      </c>
      <c r="J77" s="252" cm="1">
        <f t="array" ref="J77">_xlfn.IFS(VALUE(I77)&gt;=90.5,11,VALUE(I77)&gt;=85.5,10,VALUE(I77)&gt;=80.5,9,VALUE(I77)&gt;=75.5,8,VALUE(I77)&gt;=74.5,7,VALUE(I77)&gt;=70.5,6,VALUE(I77)&gt;=64.5,5,VALUE(I77)&gt;=60.5,4,VALUE(I77)&gt;=54.5,3,VALUE(I77)&gt;=50.5,2,VALUE(I77)&gt;=44.5,1,TRUE,0)</f>
        <v>10</v>
      </c>
      <c r="K77" s="195">
        <v>1780</v>
      </c>
      <c r="L77" s="195">
        <f>Donations!B44</f>
        <v>1564</v>
      </c>
      <c r="M77" s="267">
        <f t="shared" si="91"/>
        <v>-216</v>
      </c>
      <c r="N77" s="268">
        <f t="shared" si="92"/>
        <v>0.87865168539325844</v>
      </c>
      <c r="O77" s="252" cm="1">
        <f t="array" ref="O77">_xlfn.IFS(N77&gt;=115.5%,11,N77&gt;=110.5%,10,N77&gt;=100.5%,9,N77&gt;=99.5%,8,N77&gt;=89.5%,7,N77&gt;=75.5%,6,N77&gt;=60.5%,5,N77&gt;=45.5%,4,N77&gt;=30.5%,3,N77&gt;=15.5%,2,N77&gt;=0.5%,1,TRUE,0)</f>
        <v>6</v>
      </c>
      <c r="P77" s="12">
        <f t="shared" si="93"/>
        <v>2.0498034076015728</v>
      </c>
      <c r="Q77" s="252" cm="1">
        <f t="array" ref="Q77">_xlfn.IFS(P77&gt;10,11,P77&gt;=8.01,10,P77&gt;=6.01,9,P77&gt;=4.01,8,P77=4,7,P77&gt;=3.01,6,P77&gt;=2.01,5,P77&gt;=1.51,4,P77&gt;=1.01,3,P77&gt;=0.51,2,P77&gt;=0.01,1,TRUE,0)</f>
        <v>5</v>
      </c>
      <c r="R77" s="269">
        <v>2289</v>
      </c>
      <c r="S77" s="184">
        <f>Donations!C44</f>
        <v>1763</v>
      </c>
      <c r="T77" s="279">
        <f t="shared" si="94"/>
        <v>2.310615989515072</v>
      </c>
      <c r="U77" s="10">
        <f t="shared" si="95"/>
        <v>-526</v>
      </c>
      <c r="V77" s="252" cm="1">
        <f t="array" ref="V77">_xlfn.IFS(T77&gt;=120%,11,T77&gt;=110.5%,10,T77&gt;=100.5%,9,T77&gt;99.9%,8,T77&gt;=85.5%,7,T77&gt;=72.5%,6,T77&gt;=65.5%,5,T77&gt;=55.5%,4,T77&gt;=45.5%,3,T77&gt;=35.5%,2,T77&gt;=20.5%,1,TRUE,0)</f>
        <v>11</v>
      </c>
      <c r="W77" s="269">
        <f t="shared" si="96"/>
        <v>114.45</v>
      </c>
      <c r="X77" s="184">
        <f>Donations!D44</f>
        <v>250</v>
      </c>
      <c r="Y77" s="269">
        <f t="shared" si="97"/>
        <v>0.32765399737876805</v>
      </c>
      <c r="Z77" s="252" cm="1">
        <f t="array" ref="Z77">_xlfn.IFS(Y77&gt;=0.26,11,Y77&gt;=0.21,10,Y77&gt;=0.16,9,Y77=0.15,8,Y77=0.14,7,Y77=0.13,6,Y77&gt;=0.11,5,Y77&gt;=0.09,4,Y77&gt;=0.07,3,Y77&gt;=0.04,2,Y77&gt;=0.01,1,TRUE,0)</f>
        <v>11</v>
      </c>
      <c r="AA77" s="294" t="str">
        <f>'Active &amp; Renewals'!F51</f>
        <v>SUPERIOR</v>
      </c>
      <c r="AB77" s="281" cm="1">
        <f t="array" ref="AB77">_xlfn.IFS(AA77="SUPERIOR",11,AA77="EXCELLENT",9,AA77="GOOD",7,AA77="LATE",5,AA77="NO GRADE",3,AA77="NA",2,AA77="NO REPORT",0)</f>
        <v>11</v>
      </c>
      <c r="AC77" s="294" t="str">
        <f>'Active &amp; Renewals'!H51</f>
        <v>EXCELLENT</v>
      </c>
      <c r="AD77" s="281" cm="1">
        <f t="array" ref="AD77">_xlfn.IFS(AC77="SUPERIOR",11,AC77="EXCELLENT",9,AC77="GOOD",7,AC77="LATE",5,AC77="NO GRADE",3,AC77="NA",2,AC77="NO REPORT",0)</f>
        <v>9</v>
      </c>
      <c r="AE77" s="284" t="str">
        <f>'Active &amp; Renewals'!J51</f>
        <v>NO REPORT</v>
      </c>
      <c r="AF77" s="281" cm="1">
        <f t="array" ref="AF77">_xlfn.IFS(AE77="SUPERIOR",11,AE77="EXCELLENT",9,AE77="GOOD",7,AE77="LATE",5,AE77="NO GRADE",3,AE77="NA",2,AE77="NO REPORT",0)</f>
        <v>0</v>
      </c>
      <c r="AG77" s="284" t="str">
        <f>'Active &amp; Renewals'!L51</f>
        <v>NO REPORT</v>
      </c>
      <c r="AH77" s="281" cm="1">
        <f t="array" ref="AH77">_xlfn.IFS(AG77="SUPERIOR",11,AG77="EXCELLENT",9,AG77="GOOD",7,AG77="LATE",5,AG77="NO GRADE",3,AG77="NA",2,AG77="NO REPORT",0)</f>
        <v>0</v>
      </c>
      <c r="AI77" s="252">
        <f t="shared" si="98"/>
        <v>20</v>
      </c>
      <c r="AJ77" s="188" t="s">
        <v>655</v>
      </c>
      <c r="AK77" s="252" cm="1">
        <f t="array" ref="AK77">_xlfn.IFS(AJ77="8/8",11,AJ77="7/8",7,AJ77="6/8",6,AJ77="5/8",5,AJ77="4/8",4,AJ77="3/8",3,AJ77="2/8",2,AJ77="1/8",1,AJ77="0/8",0,TRUE,0)</f>
        <v>11</v>
      </c>
      <c r="AL77" s="189">
        <v>2</v>
      </c>
      <c r="AM77" s="300" cm="1">
        <f t="array" ref="AM77">_xlfn.IFS(AL77&gt;6,11,AL77&gt;=4,10,AL77&gt;=2,9,AL77=1,8,TRUE,0)</f>
        <v>9</v>
      </c>
      <c r="AN77" s="184">
        <f>Donations!E44</f>
        <v>100</v>
      </c>
      <c r="AO77" s="300" cm="1">
        <f t="array" ref="AO77">_xlfn.IFS(AN77&gt;125,11,AN77&gt;=116,10,AN77&gt;=101,9,AN77=100,8,AN77&gt;=86,7,AN77&gt;=71,6,AN77&gt;=61,5,AN77&gt;=51,4,AN77&gt;=41,3,AN77&gt;=26,2,AN77&gt;=1,1,TRUE,0)</f>
        <v>8</v>
      </c>
      <c r="AP77" s="190">
        <f>Donations!F44</f>
        <v>100</v>
      </c>
      <c r="AQ77" s="300" cm="1">
        <f t="array" ref="AQ77">_xlfn.IFS(AP77&gt;600,11,AP77&gt;=551,10,AP77&gt;=501,9,AP77=500,8,AP77&gt;=326,7,AP77&gt;=251,6,AP77&gt;=201,5,AP77&gt;=151,4,AP77&gt;=101,3,AP77&gt;=76,2,AP77&gt;=1,1,TRUE,0)</f>
        <v>2</v>
      </c>
      <c r="AR77" s="350"/>
      <c r="AS77" s="350"/>
      <c r="AT77" s="350"/>
      <c r="AU77" s="353"/>
      <c r="AV77" s="191">
        <v>0</v>
      </c>
      <c r="AW77" s="187">
        <v>0</v>
      </c>
      <c r="AX77" s="187">
        <v>5</v>
      </c>
      <c r="AY77" s="252">
        <f t="shared" si="100"/>
        <v>5</v>
      </c>
      <c r="AZ77" s="192"/>
      <c r="BA77" s="181"/>
      <c r="BB77" s="193">
        <v>0</v>
      </c>
      <c r="BC77" s="252" cm="1">
        <f t="array" ref="BC77">_xlfn.IFS(BB77=0,11,TRUE,0)</f>
        <v>11</v>
      </c>
      <c r="BD77" s="183">
        <v>0</v>
      </c>
      <c r="BE77" s="183">
        <v>0</v>
      </c>
      <c r="BF77" s="183">
        <v>4</v>
      </c>
      <c r="BG77" s="252">
        <f t="shared" si="101"/>
        <v>4</v>
      </c>
      <c r="BH77" s="183">
        <v>0</v>
      </c>
      <c r="BI77" s="183">
        <v>0</v>
      </c>
      <c r="BJ77" s="183">
        <v>3</v>
      </c>
      <c r="BK77" s="252">
        <f t="shared" si="102"/>
        <v>3</v>
      </c>
    </row>
    <row r="78" spans="1:63" ht="15.75" x14ac:dyDescent="0.25">
      <c r="A78" s="180" t="s">
        <v>54</v>
      </c>
      <c r="B78" s="252">
        <f t="shared" si="89"/>
        <v>75</v>
      </c>
      <c r="C78" s="253">
        <f t="shared" si="103"/>
        <v>12</v>
      </c>
      <c r="D78" s="260">
        <f>'Lodge Rank by District'!E57</f>
        <v>98</v>
      </c>
      <c r="E78" s="9" t="str">
        <f>'Active &amp; Renewals'!C53</f>
        <v>369</v>
      </c>
      <c r="F78" s="9" t="str">
        <f>'Active &amp; Renewals'!D53</f>
        <v>401</v>
      </c>
      <c r="G78" s="2">
        <f t="shared" si="90"/>
        <v>32</v>
      </c>
      <c r="H78" s="252" cm="1">
        <f t="array" ref="H78">_xlfn.IFS(G78&gt;20,11,G78&gt;11,10,G78&gt;2,9,G78&gt;0,8,G78&gt;-6,7,G78&gt;-11,6,G78&gt;-16,5,G78&gt;-21,4,G78&gt;-26,3,G78&gt;-31,2,G78&gt;-36,1,TRUE,0)</f>
        <v>11</v>
      </c>
      <c r="I78" s="113" t="str">
        <f>'Active &amp; Renewals'!E53</f>
        <v>88.86</v>
      </c>
      <c r="J78" s="252" cm="1">
        <f t="array" ref="J78">_xlfn.IFS(VALUE(I78)&gt;=90.5,11,VALUE(I78)&gt;=85.5,10,VALUE(I78)&gt;=80.5,9,VALUE(I78)&gt;=75.5,8,VALUE(I78)&gt;=74.5,7,VALUE(I78)&gt;=70.5,6,VALUE(I78)&gt;=64.5,5,VALUE(I78)&gt;=60.5,4,VALUE(I78)&gt;=54.5,3,VALUE(I78)&gt;=50.5,2,VALUE(I78)&gt;=44.5,1,TRUE,0)</f>
        <v>10</v>
      </c>
      <c r="K78" s="195">
        <v>285</v>
      </c>
      <c r="L78" s="195">
        <f>Donations!B18</f>
        <v>485</v>
      </c>
      <c r="M78" s="267">
        <f t="shared" si="91"/>
        <v>200</v>
      </c>
      <c r="N78" s="268">
        <f t="shared" si="92"/>
        <v>1.7017543859649122</v>
      </c>
      <c r="O78" s="252" cm="1">
        <f t="array" ref="O78">_xlfn.IFS(N78&gt;=115.5%,11,N78&gt;=110.5%,10,N78&gt;=100.5%,9,N78&gt;=99.5%,8,N78&gt;=89.5%,7,N78&gt;=75.5%,6,N78&gt;=60.5%,5,N78&gt;=45.5%,4,N78&gt;=30.5%,3,N78&gt;=15.5%,2,N78&gt;=0.5%,1,TRUE,0)</f>
        <v>11</v>
      </c>
      <c r="P78" s="12">
        <f t="shared" si="93"/>
        <v>1.3143631436314362</v>
      </c>
      <c r="Q78" s="252" cm="1">
        <f t="array" ref="Q78">_xlfn.IFS(P78&gt;10,11,P78&gt;=8.01,10,P78&gt;=6.01,9,P78&gt;=4.01,8,P78=4,7,P78&gt;=3.01,6,P78&gt;=2.01,5,P78&gt;=1.51,4,P78&gt;=1.01,3,P78&gt;=0.51,2,P78&gt;=0.01,1,TRUE,0)</f>
        <v>3</v>
      </c>
      <c r="R78" s="269">
        <v>1107</v>
      </c>
      <c r="S78" s="184">
        <f>Donations!C18</f>
        <v>0</v>
      </c>
      <c r="T78" s="279">
        <f t="shared" si="94"/>
        <v>0</v>
      </c>
      <c r="U78" s="10">
        <f t="shared" si="95"/>
        <v>-1107</v>
      </c>
      <c r="V78" s="252" cm="1">
        <f t="array" ref="V78">_xlfn.IFS(T78&gt;=120%,11,T78&gt;=110.5%,10,T78&gt;=100.5%,9,T78&gt;99.9%,8,T78&gt;=85.5%,7,T78&gt;=72.5%,6,T78&gt;=65.5%,5,T78&gt;=55.5%,4,T78&gt;=45.5%,3,T78&gt;=35.5%,2,T78&gt;=20.5%,1,TRUE,0)</f>
        <v>0</v>
      </c>
      <c r="W78" s="269">
        <f t="shared" si="96"/>
        <v>55.35</v>
      </c>
      <c r="X78" s="184">
        <f>Donations!D18</f>
        <v>0</v>
      </c>
      <c r="Y78" s="269">
        <f t="shared" si="97"/>
        <v>0</v>
      </c>
      <c r="Z78" s="252" cm="1">
        <f t="array" ref="Z78">_xlfn.IFS(Y78&gt;=0.26,11,Y78&gt;=0.21,10,Y78&gt;=0.16,9,Y78=0.15,8,Y78=0.14,7,Y78=0.13,6,Y78&gt;=0.11,5,Y78&gt;=0.09,4,Y78&gt;=0.07,3,Y78&gt;=0.04,2,Y78&gt;=0.01,1,TRUE,0)</f>
        <v>0</v>
      </c>
      <c r="AA78" s="294" t="str">
        <f>'Active &amp; Renewals'!F53</f>
        <v>NO GRADE</v>
      </c>
      <c r="AB78" s="281" cm="1">
        <f t="array" ref="AB78">_xlfn.IFS(AA78="SUPERIOR",11,AA78="EXCELLENT",9,AA78="GOOD",7,AA78="LATE",5,AA78="NO GRADE",3,AA78="NA",2,AA78="NO REPORT",0)</f>
        <v>3</v>
      </c>
      <c r="AC78" s="294" t="str">
        <f>'Active &amp; Renewals'!H53</f>
        <v>GOOD</v>
      </c>
      <c r="AD78" s="281" cm="1">
        <f t="array" ref="AD78">_xlfn.IFS(AC78="SUPERIOR",11,AC78="EXCELLENT",9,AC78="GOOD",7,AC78="LATE",5,AC78="NO GRADE",3,AC78="NA",2,AC78="NO REPORT",0)</f>
        <v>7</v>
      </c>
      <c r="AE78" s="284" t="str">
        <f>'Active &amp; Renewals'!J53</f>
        <v>NO REPORT</v>
      </c>
      <c r="AF78" s="281" cm="1">
        <f t="array" ref="AF78">_xlfn.IFS(AE78="SUPERIOR",11,AE78="EXCELLENT",9,AE78="GOOD",7,AE78="LATE",5,AE78="NO GRADE",3,AE78="NA",2,AE78="NO REPORT",0)</f>
        <v>0</v>
      </c>
      <c r="AG78" s="284" t="str">
        <f>'Active &amp; Renewals'!L53</f>
        <v>NO REPORT</v>
      </c>
      <c r="AH78" s="281" cm="1">
        <f t="array" ref="AH78">_xlfn.IFS(AG78="SUPERIOR",11,AG78="EXCELLENT",9,AG78="GOOD",7,AG78="LATE",5,AG78="NO GRADE",3,AG78="NA",2,AG78="NO REPORT",0)</f>
        <v>0</v>
      </c>
      <c r="AI78" s="252">
        <f t="shared" si="98"/>
        <v>10</v>
      </c>
      <c r="AJ78" s="188" t="s">
        <v>660</v>
      </c>
      <c r="AK78" s="252" cm="1">
        <f t="array" ref="AK78">_xlfn.IFS(AJ78="8/8",11,AJ78="7/8",7,AJ78="6/8",6,AJ78="5/8",5,AJ78="4/8",4,AJ78="3/8",3,AJ78="2/8",2,AJ78="1/8",1,AJ78="0/8",0,TRUE,0)</f>
        <v>5</v>
      </c>
      <c r="AL78" s="189">
        <v>0</v>
      </c>
      <c r="AM78" s="300" cm="1">
        <f t="array" ref="AM78">_xlfn.IFS(AL78&gt;6,11,AL78&gt;=4,10,AL78&gt;=2,9,AL78=1,8,TRUE,0)</f>
        <v>0</v>
      </c>
      <c r="AN78" s="184">
        <f>Donations!E18</f>
        <v>0</v>
      </c>
      <c r="AO78" s="300" cm="1">
        <f t="array" ref="AO78">_xlfn.IFS(AN78&gt;125,11,AN78&gt;=116,10,AN78&gt;=101,9,AN78=100,8,AN78&gt;=86,7,AN78&gt;=71,6,AN78&gt;=61,5,AN78&gt;=51,4,AN78&gt;=41,3,AN78&gt;=26,2,AN78&gt;=1,1,TRUE,0)</f>
        <v>0</v>
      </c>
      <c r="AP78" s="190">
        <f>Donations!F18</f>
        <v>0</v>
      </c>
      <c r="AQ78" s="300" cm="1">
        <f t="array" ref="AQ78">_xlfn.IFS(AP78&gt;600,11,AP78&gt;=551,10,AP78&gt;=501,9,AP78=500,8,AP78&gt;=326,7,AP78&gt;=251,6,AP78&gt;=201,5,AP78&gt;=151,4,AP78&gt;=101,3,AP78&gt;=76,2,AP78&gt;=1,1,TRUE,0)</f>
        <v>0</v>
      </c>
      <c r="AR78" s="350"/>
      <c r="AS78" s="350"/>
      <c r="AT78" s="350"/>
      <c r="AU78" s="353"/>
      <c r="AV78" s="191">
        <v>2</v>
      </c>
      <c r="AW78" s="187">
        <v>3</v>
      </c>
      <c r="AX78" s="187">
        <v>1</v>
      </c>
      <c r="AY78" s="252">
        <f t="shared" si="100"/>
        <v>6</v>
      </c>
      <c r="AZ78" s="192"/>
      <c r="BA78" s="181"/>
      <c r="BB78" s="193">
        <v>0</v>
      </c>
      <c r="BC78" s="252" cm="1">
        <f t="array" ref="BC78">_xlfn.IFS(BB78=0,11,TRUE,0)</f>
        <v>11</v>
      </c>
      <c r="BD78" s="183">
        <v>0</v>
      </c>
      <c r="BE78" s="183">
        <v>0</v>
      </c>
      <c r="BF78" s="183">
        <v>4</v>
      </c>
      <c r="BG78" s="252">
        <f t="shared" si="101"/>
        <v>4</v>
      </c>
      <c r="BH78" s="183">
        <v>0</v>
      </c>
      <c r="BI78" s="183">
        <v>2</v>
      </c>
      <c r="BJ78" s="183">
        <v>2</v>
      </c>
      <c r="BK78" s="252">
        <f t="shared" si="102"/>
        <v>4</v>
      </c>
    </row>
    <row r="79" spans="1:63" ht="15.75" x14ac:dyDescent="0.25">
      <c r="A79" s="180" t="s">
        <v>53</v>
      </c>
      <c r="B79" s="252">
        <f t="shared" si="89"/>
        <v>167</v>
      </c>
      <c r="C79" s="253">
        <f t="shared" si="103"/>
        <v>1</v>
      </c>
      <c r="D79" s="260">
        <f>'Lodge Rank by District'!E58</f>
        <v>5</v>
      </c>
      <c r="E79" s="9" t="str">
        <f>'Active &amp; Renewals'!C58</f>
        <v>520</v>
      </c>
      <c r="F79" s="9" t="str">
        <f>'Active &amp; Renewals'!D58</f>
        <v>553</v>
      </c>
      <c r="G79" s="2">
        <f t="shared" si="90"/>
        <v>33</v>
      </c>
      <c r="H79" s="252" cm="1">
        <f t="array" ref="H79">_xlfn.IFS(G79&gt;20,11,G79&gt;11,10,G79&gt;2,9,G79&gt;0,8,G79&gt;-6,7,G79&gt;-11,6,G79&gt;-16,5,G79&gt;-21,4,G79&gt;-26,3,G79&gt;-31,2,G79&gt;-36,1,TRUE,0)</f>
        <v>11</v>
      </c>
      <c r="I79" s="113" t="str">
        <f>'Active &amp; Renewals'!E58</f>
        <v>86.77</v>
      </c>
      <c r="J79" s="252" cm="1">
        <f t="array" ref="J79">_xlfn.IFS(VALUE(I79)&gt;=90.5,11,VALUE(I79)&gt;=85.5,10,VALUE(I79)&gt;=80.5,9,VALUE(I79)&gt;=75.5,8,VALUE(I79)&gt;=74.5,7,VALUE(I79)&gt;=70.5,6,VALUE(I79)&gt;=64.5,5,VALUE(I79)&gt;=60.5,4,VALUE(I79)&gt;=54.5,3,VALUE(I79)&gt;=50.5,2,VALUE(I79)&gt;=44.5,1,TRUE,0)</f>
        <v>10</v>
      </c>
      <c r="K79" s="195">
        <v>913</v>
      </c>
      <c r="L79" s="195">
        <f>Donations!B75</f>
        <v>1092</v>
      </c>
      <c r="M79" s="267">
        <f t="shared" si="91"/>
        <v>179</v>
      </c>
      <c r="N79" s="268">
        <f t="shared" si="92"/>
        <v>1.1960569550930997</v>
      </c>
      <c r="O79" s="252" cm="1">
        <f t="array" ref="O79">_xlfn.IFS(N79&gt;=115.5%,11,N79&gt;=110.5%,10,N79&gt;=100.5%,9,N79&gt;=99.5%,8,N79&gt;=89.5%,7,N79&gt;=75.5%,6,N79&gt;=60.5%,5,N79&gt;=45.5%,4,N79&gt;=30.5%,3,N79&gt;=15.5%,2,N79&gt;=0.5%,1,TRUE,0)</f>
        <v>11</v>
      </c>
      <c r="P79" s="12">
        <f t="shared" si="93"/>
        <v>2.1</v>
      </c>
      <c r="Q79" s="252" cm="1">
        <f t="array" ref="Q79">_xlfn.IFS(P79&gt;10,11,P79&gt;=8.01,10,P79&gt;=6.01,9,P79&gt;=4.01,8,P79=4,7,P79&gt;=3.01,6,P79&gt;=2.01,5,P79&gt;=1.51,4,P79&gt;=1.01,3,P79&gt;=0.51,2,P79&gt;=0.01,1,TRUE,0)</f>
        <v>5</v>
      </c>
      <c r="R79" s="269">
        <v>1560</v>
      </c>
      <c r="S79" s="184">
        <f>Donations!C75</f>
        <v>600</v>
      </c>
      <c r="T79" s="279">
        <f t="shared" si="94"/>
        <v>1.1538461538461537</v>
      </c>
      <c r="U79" s="10">
        <f t="shared" si="95"/>
        <v>-960</v>
      </c>
      <c r="V79" s="252" cm="1">
        <f t="array" ref="V79">_xlfn.IFS(T79&gt;=120%,11,T79&gt;=110.5%,10,T79&gt;=100.5%,9,T79&gt;99.9%,8,T79&gt;=85.5%,7,T79&gt;=72.5%,6,T79&gt;=65.5%,5,T79&gt;=55.5%,4,T79&gt;=45.5%,3,T79&gt;=35.5%,2,T79&gt;=20.5%,1,TRUE,0)</f>
        <v>10</v>
      </c>
      <c r="W79" s="269">
        <f t="shared" si="96"/>
        <v>78</v>
      </c>
      <c r="X79" s="184">
        <f>Donations!D75</f>
        <v>1300</v>
      </c>
      <c r="Y79" s="269">
        <f t="shared" si="97"/>
        <v>2.5</v>
      </c>
      <c r="Z79" s="252" cm="1">
        <f t="array" ref="Z79">_xlfn.IFS(Y79&gt;=0.26,11,Y79&gt;=0.21,10,Y79&gt;=0.16,9,Y79=0.15,8,Y79=0.14,7,Y79=0.13,6,Y79&gt;=0.11,5,Y79&gt;=0.09,4,Y79&gt;=0.07,3,Y79&gt;=0.04,2,Y79&gt;=0.01,1,TRUE,0)</f>
        <v>11</v>
      </c>
      <c r="AA79" s="294" t="str">
        <f>'Active &amp; Renewals'!F58</f>
        <v>SUPERIOR</v>
      </c>
      <c r="AB79" s="281" cm="1">
        <f t="array" ref="AB79">_xlfn.IFS(AA79="SUPERIOR",11,AA79="EXCELLENT",9,AA79="GOOD",7,AA79="LATE",5,AA79="NO GRADE",3,AA79="NA",2,AA79="NO REPORT",0)</f>
        <v>11</v>
      </c>
      <c r="AC79" s="294" t="str">
        <f>'Active &amp; Renewals'!H58</f>
        <v>SUPERIOR</v>
      </c>
      <c r="AD79" s="281" cm="1">
        <f t="array" ref="AD79">_xlfn.IFS(AC79="SUPERIOR",11,AC79="EXCELLENT",9,AC79="GOOD",7,AC79="LATE",5,AC79="NO GRADE",3,AC79="NA",2,AC79="NO REPORT",0)</f>
        <v>11</v>
      </c>
      <c r="AE79" s="284" t="str">
        <f>'Active &amp; Renewals'!J58</f>
        <v>NO REPORT</v>
      </c>
      <c r="AF79" s="281" cm="1">
        <f t="array" ref="AF79">_xlfn.IFS(AE79="SUPERIOR",11,AE79="EXCELLENT",9,AE79="GOOD",7,AE79="LATE",5,AE79="NO GRADE",3,AE79="NA",2,AE79="NO REPORT",0)</f>
        <v>0</v>
      </c>
      <c r="AG79" s="284" t="str">
        <f>'Active &amp; Renewals'!L58</f>
        <v>NO REPORT</v>
      </c>
      <c r="AH79" s="281" cm="1">
        <f t="array" ref="AH79">_xlfn.IFS(AG79="SUPERIOR",11,AG79="EXCELLENT",9,AG79="GOOD",7,AG79="LATE",5,AG79="NO GRADE",3,AG79="NA",2,AG79="NO REPORT",0)</f>
        <v>0</v>
      </c>
      <c r="AI79" s="252">
        <f t="shared" si="98"/>
        <v>22</v>
      </c>
      <c r="AJ79" s="188" t="s">
        <v>655</v>
      </c>
      <c r="AK79" s="252" cm="1">
        <f t="array" ref="AK79">_xlfn.IFS(AJ79="8/8",11,AJ79="7/8",7,AJ79="6/8",6,AJ79="5/8",5,AJ79="4/8",4,AJ79="3/8",3,AJ79="2/8",2,AJ79="1/8",1,AJ79="0/8",0,TRUE,0)</f>
        <v>11</v>
      </c>
      <c r="AL79" s="189">
        <v>2</v>
      </c>
      <c r="AM79" s="300" cm="1">
        <f t="array" ref="AM79">_xlfn.IFS(AL79&gt;6,11,AL79&gt;=4,10,AL79&gt;=2,9,AL79=1,8,TRUE,0)</f>
        <v>9</v>
      </c>
      <c r="AN79" s="184">
        <f>Donations!E75</f>
        <v>200</v>
      </c>
      <c r="AO79" s="300" cm="1">
        <f t="array" ref="AO79">_xlfn.IFS(AN79&gt;125,11,AN79&gt;=116,10,AN79&gt;=101,9,AN79=100,8,AN79&gt;=86,7,AN79&gt;=71,6,AN79&gt;=61,5,AN79&gt;=51,4,AN79&gt;=41,3,AN79&gt;=26,2,AN79&gt;=1,1,TRUE,0)</f>
        <v>11</v>
      </c>
      <c r="AP79" s="190">
        <f>Donations!F75</f>
        <v>700</v>
      </c>
      <c r="AQ79" s="300" cm="1">
        <f t="array" ref="AQ79">_xlfn.IFS(AP79&gt;600,11,AP79&gt;=551,10,AP79&gt;=501,9,AP79=500,8,AP79&gt;=326,7,AP79&gt;=251,6,AP79&gt;=201,5,AP79&gt;=151,4,AP79&gt;=101,3,AP79&gt;=76,2,AP79&gt;=1,1,TRUE,0)</f>
        <v>11</v>
      </c>
      <c r="AR79" s="350"/>
      <c r="AS79" s="350"/>
      <c r="AT79" s="350"/>
      <c r="AU79" s="353"/>
      <c r="AV79" s="191">
        <v>5</v>
      </c>
      <c r="AW79" s="187">
        <v>4</v>
      </c>
      <c r="AX79" s="187">
        <v>5</v>
      </c>
      <c r="AY79" s="252">
        <f t="shared" si="100"/>
        <v>14</v>
      </c>
      <c r="AZ79" s="192"/>
      <c r="BA79" s="181"/>
      <c r="BB79" s="193">
        <v>0</v>
      </c>
      <c r="BC79" s="252" cm="1">
        <f t="array" ref="BC79">_xlfn.IFS(BB79=0,11,TRUE,0)</f>
        <v>11</v>
      </c>
      <c r="BD79" s="183">
        <v>3</v>
      </c>
      <c r="BE79" s="183">
        <v>4</v>
      </c>
      <c r="BF79" s="183">
        <v>4</v>
      </c>
      <c r="BG79" s="252">
        <f t="shared" si="101"/>
        <v>11</v>
      </c>
      <c r="BH79" s="183">
        <v>3</v>
      </c>
      <c r="BI79" s="183">
        <v>3</v>
      </c>
      <c r="BJ79" s="183">
        <v>3</v>
      </c>
      <c r="BK79" s="252">
        <f t="shared" si="102"/>
        <v>9</v>
      </c>
    </row>
    <row r="80" spans="1:63" ht="15.75" x14ac:dyDescent="0.25">
      <c r="A80" s="180" t="s">
        <v>52</v>
      </c>
      <c r="B80" s="252">
        <f t="shared" si="89"/>
        <v>135</v>
      </c>
      <c r="C80" s="253">
        <f t="shared" si="103"/>
        <v>3</v>
      </c>
      <c r="D80" s="260">
        <f>'Lodge Rank by District'!E59</f>
        <v>37</v>
      </c>
      <c r="E80" s="9" t="str">
        <f>'Active &amp; Renewals'!C77</f>
        <v>460</v>
      </c>
      <c r="F80" s="9" t="str">
        <f>'Active &amp; Renewals'!D77</f>
        <v>478</v>
      </c>
      <c r="G80" s="2">
        <f t="shared" si="90"/>
        <v>18</v>
      </c>
      <c r="H80" s="252" cm="1">
        <f t="array" ref="H80">_xlfn.IFS(G80&gt;20,11,G80&gt;11,10,G80&gt;2,9,G80&gt;0,8,G80&gt;-6,7,G80&gt;-11,6,G80&gt;-16,5,G80&gt;-21,4,G80&gt;-26,3,G80&gt;-31,2,G80&gt;-36,1,TRUE,0)</f>
        <v>10</v>
      </c>
      <c r="I80" s="113" t="str">
        <f>'Active &amp; Renewals'!E77</f>
        <v>83.88</v>
      </c>
      <c r="J80" s="252" cm="1">
        <f t="array" ref="J80">_xlfn.IFS(VALUE(I80)&gt;=90.5,11,VALUE(I80)&gt;=85.5,10,VALUE(I80)&gt;=80.5,9,VALUE(I80)&gt;=75.5,8,VALUE(I80)&gt;=74.5,7,VALUE(I80)&gt;=70.5,6,VALUE(I80)&gt;=64.5,5,VALUE(I80)&gt;=60.5,4,VALUE(I80)&gt;=54.5,3,VALUE(I80)&gt;=50.5,2,VALUE(I80)&gt;=44.5,1,TRUE,0)</f>
        <v>9</v>
      </c>
      <c r="K80" s="195">
        <v>977</v>
      </c>
      <c r="L80" s="195">
        <f>Donations!B39</f>
        <v>1125</v>
      </c>
      <c r="M80" s="267">
        <f t="shared" si="91"/>
        <v>148</v>
      </c>
      <c r="N80" s="268">
        <f t="shared" si="92"/>
        <v>1.1514841351074718</v>
      </c>
      <c r="O80" s="252" cm="1">
        <f t="array" ref="O80">_xlfn.IFS(N80&gt;=115.5%,11,N80&gt;=110.5%,10,N80&gt;=100.5%,9,N80&gt;=99.5%,8,N80&gt;=89.5%,7,N80&gt;=75.5%,6,N80&gt;=60.5%,5,N80&gt;=45.5%,4,N80&gt;=30.5%,3,N80&gt;=15.5%,2,N80&gt;=0.5%,1,TRUE,0)</f>
        <v>10</v>
      </c>
      <c r="P80" s="12">
        <f t="shared" si="93"/>
        <v>2.4456521739130435</v>
      </c>
      <c r="Q80" s="252" cm="1">
        <f t="array" ref="Q80">_xlfn.IFS(P80&gt;10,11,P80&gt;=8.01,10,P80&gt;=6.01,9,P80&gt;=4.01,8,P80=4,7,P80&gt;=3.01,6,P80&gt;=2.01,5,P80&gt;=1.51,4,P80&gt;=1.01,3,P80&gt;=0.51,2,P80&gt;=0.01,1,TRUE,0)</f>
        <v>5</v>
      </c>
      <c r="R80" s="269">
        <v>1380</v>
      </c>
      <c r="S80" s="184">
        <f>Donations!C39</f>
        <v>460</v>
      </c>
      <c r="T80" s="279">
        <f t="shared" si="94"/>
        <v>1</v>
      </c>
      <c r="U80" s="10">
        <f t="shared" si="95"/>
        <v>-920</v>
      </c>
      <c r="V80" s="252" cm="1">
        <f t="array" ref="V80">_xlfn.IFS(T80&gt;=120%,11,T80&gt;=110.5%,10,T80&gt;=100.5%,9,T80&gt;99.9%,8,T80&gt;=85.5%,7,T80&gt;=72.5%,6,T80&gt;=65.5%,5,T80&gt;=55.5%,4,T80&gt;=45.5%,3,T80&gt;=35.5%,2,T80&gt;=20.5%,1,TRUE,0)</f>
        <v>8</v>
      </c>
      <c r="W80" s="269">
        <f t="shared" si="96"/>
        <v>69</v>
      </c>
      <c r="X80" s="184">
        <f>Donations!D39</f>
        <v>100</v>
      </c>
      <c r="Y80" s="269">
        <f t="shared" si="97"/>
        <v>0.21739130434782608</v>
      </c>
      <c r="Z80" s="252" cm="1">
        <f t="array" ref="Z80">_xlfn.IFS(Y80&gt;=0.26,11,Y80&gt;=0.21,10,Y80&gt;=0.16,9,Y80=0.15,8,Y80=0.14,7,Y80=0.13,6,Y80&gt;=0.11,5,Y80&gt;=0.09,4,Y80&gt;=0.07,3,Y80&gt;=0.04,2,Y80&gt;=0.01,1,TRUE,0)</f>
        <v>10</v>
      </c>
      <c r="AA80" s="294" t="str">
        <f>'Active &amp; Renewals'!F77</f>
        <v>SUPERIOR</v>
      </c>
      <c r="AB80" s="281" cm="1">
        <f t="array" ref="AB80">_xlfn.IFS(AA80="SUPERIOR",11,AA80="EXCELLENT",9,AA80="GOOD",7,AA80="LATE",5,AA80="NO GRADE",3,AA80="NA",2,AA80="NO REPORT",0)</f>
        <v>11</v>
      </c>
      <c r="AC80" s="294" t="str">
        <f>'Active &amp; Renewals'!H77</f>
        <v>EXCELLENT</v>
      </c>
      <c r="AD80" s="281" cm="1">
        <f t="array" ref="AD80">_xlfn.IFS(AC80="SUPERIOR",11,AC80="EXCELLENT",9,AC80="GOOD",7,AC80="LATE",5,AC80="NO GRADE",3,AC80="NA",2,AC80="NO REPORT",0)</f>
        <v>9</v>
      </c>
      <c r="AE80" s="284" t="str">
        <f>'Active &amp; Renewals'!J77</f>
        <v>NO REPORT</v>
      </c>
      <c r="AF80" s="281" cm="1">
        <f t="array" ref="AF80">_xlfn.IFS(AE80="SUPERIOR",11,AE80="EXCELLENT",9,AE80="GOOD",7,AE80="LATE",5,AE80="NO GRADE",3,AE80="NA",2,AE80="NO REPORT",0)</f>
        <v>0</v>
      </c>
      <c r="AG80" s="284" t="str">
        <f>'Active &amp; Renewals'!L77</f>
        <v>NO REPORT</v>
      </c>
      <c r="AH80" s="281" cm="1">
        <f t="array" ref="AH80">_xlfn.IFS(AG80="SUPERIOR",11,AG80="EXCELLENT",9,AG80="GOOD",7,AG80="LATE",5,AG80="NO GRADE",3,AG80="NA",2,AG80="NO REPORT",0)</f>
        <v>0</v>
      </c>
      <c r="AI80" s="252">
        <f t="shared" si="98"/>
        <v>20</v>
      </c>
      <c r="AJ80" s="188" t="s">
        <v>653</v>
      </c>
      <c r="AK80" s="252" cm="1">
        <f t="array" ref="AK80">_xlfn.IFS(AJ80="8/8",11,AJ80="7/8",7,AJ80="6/8",6,AJ80="5/8",5,AJ80="4/8",4,AJ80="3/8",3,AJ80="2/8",2,AJ80="1/8",1,AJ80="0/8",0,TRUE,0)</f>
        <v>6</v>
      </c>
      <c r="AL80" s="189">
        <v>2</v>
      </c>
      <c r="AM80" s="300" cm="1">
        <f t="array" ref="AM80">_xlfn.IFS(AL80&gt;6,11,AL80&gt;=4,10,AL80&gt;=2,9,AL80=1,8,TRUE,0)</f>
        <v>9</v>
      </c>
      <c r="AN80" s="184">
        <f>Donations!E39</f>
        <v>100</v>
      </c>
      <c r="AO80" s="300" cm="1">
        <f t="array" ref="AO80">_xlfn.IFS(AN80&gt;125,11,AN80&gt;=116,10,AN80&gt;=101,9,AN80=100,8,AN80&gt;=86,7,AN80&gt;=71,6,AN80&gt;=61,5,AN80&gt;=51,4,AN80&gt;=41,3,AN80&gt;=26,2,AN80&gt;=1,1,TRUE,0)</f>
        <v>8</v>
      </c>
      <c r="AP80" s="190">
        <f>Donations!F39</f>
        <v>701</v>
      </c>
      <c r="AQ80" s="300" cm="1">
        <f t="array" ref="AQ80">_xlfn.IFS(AP80&gt;600,11,AP80&gt;=551,10,AP80&gt;=501,9,AP80=500,8,AP80&gt;=326,7,AP80&gt;=251,6,AP80&gt;=201,5,AP80&gt;=151,4,AP80&gt;=101,3,AP80&gt;=76,2,AP80&gt;=1,1,TRUE,0)</f>
        <v>11</v>
      </c>
      <c r="AR80" s="350"/>
      <c r="AS80" s="350"/>
      <c r="AT80" s="350"/>
      <c r="AU80" s="353"/>
      <c r="AV80" s="191">
        <v>2</v>
      </c>
      <c r="AW80" s="187">
        <v>4</v>
      </c>
      <c r="AX80" s="187">
        <v>5</v>
      </c>
      <c r="AY80" s="252">
        <f t="shared" si="100"/>
        <v>11</v>
      </c>
      <c r="AZ80" s="192"/>
      <c r="BA80" s="181"/>
      <c r="BB80" s="193">
        <v>0</v>
      </c>
      <c r="BC80" s="252" cm="1">
        <f t="array" ref="BC80">_xlfn.IFS(BB80=0,11,TRUE,0)</f>
        <v>11</v>
      </c>
      <c r="BD80" s="183">
        <v>0</v>
      </c>
      <c r="BE80" s="183">
        <v>0</v>
      </c>
      <c r="BF80" s="183">
        <v>4</v>
      </c>
      <c r="BG80" s="252">
        <f t="shared" si="101"/>
        <v>4</v>
      </c>
      <c r="BH80" s="183">
        <v>0</v>
      </c>
      <c r="BI80" s="183">
        <v>0</v>
      </c>
      <c r="BJ80" s="183">
        <v>3</v>
      </c>
      <c r="BK80" s="252">
        <f t="shared" si="102"/>
        <v>3</v>
      </c>
    </row>
    <row r="81" spans="1:63" ht="15.75" x14ac:dyDescent="0.25">
      <c r="A81" s="180" t="s">
        <v>51</v>
      </c>
      <c r="B81" s="252">
        <f t="shared" si="89"/>
        <v>82</v>
      </c>
      <c r="C81" s="253">
        <f t="shared" si="103"/>
        <v>10</v>
      </c>
      <c r="D81" s="260">
        <f>'Lodge Rank by District'!E60</f>
        <v>96</v>
      </c>
      <c r="E81" s="9" t="str">
        <f>'Active &amp; Renewals'!C85</f>
        <v>229</v>
      </c>
      <c r="F81" s="9" t="str">
        <f>'Active &amp; Renewals'!D85</f>
        <v>258</v>
      </c>
      <c r="G81" s="2">
        <f t="shared" si="90"/>
        <v>29</v>
      </c>
      <c r="H81" s="252" cm="1">
        <f t="array" ref="H81">_xlfn.IFS(G81&gt;20,11,G81&gt;11,10,G81&gt;2,9,G81&gt;0,8,G81&gt;-6,7,G81&gt;-11,6,G81&gt;-16,5,G81&gt;-21,4,G81&gt;-26,3,G81&gt;-31,2,G81&gt;-36,1,TRUE,0)</f>
        <v>11</v>
      </c>
      <c r="I81" s="113" t="str">
        <f>'Active &amp; Renewals'!E85</f>
        <v>86.03</v>
      </c>
      <c r="J81" s="252" cm="1">
        <f t="array" ref="J81">_xlfn.IFS(VALUE(I81)&gt;=90.5,11,VALUE(I81)&gt;=85.5,10,VALUE(I81)&gt;=80.5,9,VALUE(I81)&gt;=75.5,8,VALUE(I81)&gt;=74.5,7,VALUE(I81)&gt;=70.5,6,VALUE(I81)&gt;=64.5,5,VALUE(I81)&gt;=60.5,4,VALUE(I81)&gt;=54.5,3,VALUE(I81)&gt;=50.5,2,VALUE(I81)&gt;=44.5,1,TRUE,0)</f>
        <v>10</v>
      </c>
      <c r="K81" s="195">
        <v>282.05</v>
      </c>
      <c r="L81" s="195">
        <f>Donations!B53</f>
        <v>204</v>
      </c>
      <c r="M81" s="267">
        <f t="shared" si="91"/>
        <v>-78.050000000000011</v>
      </c>
      <c r="N81" s="268">
        <f t="shared" si="92"/>
        <v>0.7232760148909767</v>
      </c>
      <c r="O81" s="252" cm="1">
        <f t="array" ref="O81">_xlfn.IFS(N81&gt;=115.5%,11,N81&gt;=110.5%,10,N81&gt;=100.5%,9,N81&gt;=99.5%,8,N81&gt;=89.5%,7,N81&gt;=75.5%,6,N81&gt;=60.5%,5,N81&gt;=45.5%,4,N81&gt;=30.5%,3,N81&gt;=15.5%,2,N81&gt;=0.5%,1,TRUE,0)</f>
        <v>5</v>
      </c>
      <c r="P81" s="12">
        <f t="shared" si="93"/>
        <v>0.89082969432314407</v>
      </c>
      <c r="Q81" s="252" cm="1">
        <f t="array" ref="Q81">_xlfn.IFS(P81&gt;10,11,P81&gt;=8.01,10,P81&gt;=6.01,9,P81&gt;=4.01,8,P81=4,7,P81&gt;=3.01,6,P81&gt;=2.01,5,P81&gt;=1.51,4,P81&gt;=1.01,3,P81&gt;=0.51,2,P81&gt;=0.01,1,TRUE,0)</f>
        <v>2</v>
      </c>
      <c r="R81" s="269">
        <v>687</v>
      </c>
      <c r="S81" s="184">
        <f>Donations!C53</f>
        <v>200</v>
      </c>
      <c r="T81" s="279">
        <f t="shared" si="94"/>
        <v>0.8733624454148472</v>
      </c>
      <c r="U81" s="10">
        <f t="shared" si="95"/>
        <v>-487</v>
      </c>
      <c r="V81" s="252" cm="1">
        <f t="array" ref="V81">_xlfn.IFS(T81&gt;=120%,11,T81&gt;=110.5%,10,T81&gt;=100.5%,9,T81&gt;99.9%,8,T81&gt;=85.5%,7,T81&gt;=72.5%,6,T81&gt;=65.5%,5,T81&gt;=55.5%,4,T81&gt;=45.5%,3,T81&gt;=35.5%,2,T81&gt;=20.5%,1,TRUE,0)</f>
        <v>7</v>
      </c>
      <c r="W81" s="269">
        <f t="shared" si="96"/>
        <v>34.35</v>
      </c>
      <c r="X81" s="184">
        <f>Donations!D53</f>
        <v>0</v>
      </c>
      <c r="Y81" s="269">
        <f t="shared" si="97"/>
        <v>0</v>
      </c>
      <c r="Z81" s="252" cm="1">
        <f t="array" ref="Z81">_xlfn.IFS(Y81&gt;=0.26,11,Y81&gt;=0.21,10,Y81&gt;=0.16,9,Y81=0.15,8,Y81=0.14,7,Y81=0.13,6,Y81&gt;=0.11,5,Y81&gt;=0.09,4,Y81&gt;=0.07,3,Y81&gt;=0.04,2,Y81&gt;=0.01,1,TRUE,0)</f>
        <v>0</v>
      </c>
      <c r="AA81" s="294" t="str">
        <f>'Active &amp; Renewals'!F85</f>
        <v>NO GRADE</v>
      </c>
      <c r="AB81" s="281" cm="1">
        <f t="array" ref="AB81">_xlfn.IFS(AA81="SUPERIOR",11,AA81="EXCELLENT",9,AA81="GOOD",7,AA81="LATE",5,AA81="NO GRADE",3,AA81="NA",2,AA81="NO REPORT",0)</f>
        <v>3</v>
      </c>
      <c r="AC81" s="294" t="str">
        <f>'Active &amp; Renewals'!H85</f>
        <v>NO GRADE</v>
      </c>
      <c r="AD81" s="281" cm="1">
        <f t="array" ref="AD81">_xlfn.IFS(AC81="SUPERIOR",11,AC81="EXCELLENT",9,AC81="GOOD",7,AC81="LATE",5,AC81="NO GRADE",3,AC81="NA",2,AC81="NO REPORT",0)</f>
        <v>3</v>
      </c>
      <c r="AE81" s="284" t="str">
        <f>'Active &amp; Renewals'!J85</f>
        <v>NO REPORT</v>
      </c>
      <c r="AF81" s="281" cm="1">
        <f t="array" ref="AF81">_xlfn.IFS(AE81="SUPERIOR",11,AE81="EXCELLENT",9,AE81="GOOD",7,AE81="LATE",5,AE81="NO GRADE",3,AE81="NA",2,AE81="NO REPORT",0)</f>
        <v>0</v>
      </c>
      <c r="AG81" s="284" t="str">
        <f>'Active &amp; Renewals'!L85</f>
        <v>NO REPORT</v>
      </c>
      <c r="AH81" s="281" cm="1">
        <f t="array" ref="AH81">_xlfn.IFS(AG81="SUPERIOR",11,AG81="EXCELLENT",9,AG81="GOOD",7,AG81="LATE",5,AG81="NO GRADE",3,AG81="NA",2,AG81="NO REPORT",0)</f>
        <v>0</v>
      </c>
      <c r="AI81" s="252">
        <f t="shared" si="98"/>
        <v>6</v>
      </c>
      <c r="AJ81" s="188" t="s">
        <v>653</v>
      </c>
      <c r="AK81" s="252" cm="1">
        <f t="array" ref="AK81">_xlfn.IFS(AJ81="8/8",11,AJ81="7/8",7,AJ81="6/8",6,AJ81="5/8",5,AJ81="4/8",4,AJ81="3/8",3,AJ81="2/8",2,AJ81="1/8",1,AJ81="0/8",0,TRUE,0)</f>
        <v>6</v>
      </c>
      <c r="AL81" s="189">
        <v>1</v>
      </c>
      <c r="AM81" s="300" cm="1">
        <f t="array" ref="AM81">_xlfn.IFS(AL81&gt;6,11,AL81&gt;=4,10,AL81&gt;=2,9,AL81=1,8,TRUE,0)</f>
        <v>8</v>
      </c>
      <c r="AN81" s="184">
        <f>Donations!E53</f>
        <v>150</v>
      </c>
      <c r="AO81" s="300" cm="1">
        <f t="array" ref="AO81">_xlfn.IFS(AN81&gt;125,11,AN81&gt;=116,10,AN81&gt;=101,9,AN81=100,8,AN81&gt;=86,7,AN81&gt;=71,6,AN81&gt;=61,5,AN81&gt;=51,4,AN81&gt;=41,3,AN81&gt;=26,2,AN81&gt;=1,1,TRUE,0)</f>
        <v>11</v>
      </c>
      <c r="AP81" s="190">
        <f>Donations!F53</f>
        <v>50</v>
      </c>
      <c r="AQ81" s="300" cm="1">
        <f t="array" ref="AQ81">_xlfn.IFS(AP81&gt;600,11,AP81&gt;=551,10,AP81&gt;=501,9,AP81=500,8,AP81&gt;=326,7,AP81&gt;=251,6,AP81&gt;=201,5,AP81&gt;=151,4,AP81&gt;=101,3,AP81&gt;=76,2,AP81&gt;=1,1,TRUE,0)</f>
        <v>1</v>
      </c>
      <c r="AR81" s="350"/>
      <c r="AS81" s="350"/>
      <c r="AT81" s="350"/>
      <c r="AU81" s="353"/>
      <c r="AV81" s="191">
        <v>4</v>
      </c>
      <c r="AW81" s="187">
        <v>0</v>
      </c>
      <c r="AX81" s="187">
        <v>3</v>
      </c>
      <c r="AY81" s="252">
        <f t="shared" si="100"/>
        <v>7</v>
      </c>
      <c r="AZ81" s="192"/>
      <c r="BA81" s="181"/>
      <c r="BB81" s="193">
        <v>673.75</v>
      </c>
      <c r="BC81" s="252" cm="1">
        <f t="array" ref="BC81">_xlfn.IFS(BB81=0,11,TRUE,0)</f>
        <v>0</v>
      </c>
      <c r="BD81" s="183">
        <v>0</v>
      </c>
      <c r="BE81" s="183">
        <v>2</v>
      </c>
      <c r="BF81" s="183">
        <v>3</v>
      </c>
      <c r="BG81" s="252">
        <f t="shared" si="101"/>
        <v>5</v>
      </c>
      <c r="BH81" s="183">
        <v>0</v>
      </c>
      <c r="BI81" s="183">
        <v>0</v>
      </c>
      <c r="BJ81" s="183">
        <v>3</v>
      </c>
      <c r="BK81" s="252">
        <f t="shared" si="102"/>
        <v>3</v>
      </c>
    </row>
    <row r="82" spans="1:63" ht="15.75" x14ac:dyDescent="0.25">
      <c r="A82" s="180" t="s">
        <v>370</v>
      </c>
      <c r="B82" s="252">
        <f t="shared" si="89"/>
        <v>153</v>
      </c>
      <c r="C82" s="253">
        <f t="shared" si="103"/>
        <v>2</v>
      </c>
      <c r="D82" s="260">
        <f>'Lodge Rank by District'!E61</f>
        <v>17</v>
      </c>
      <c r="E82" s="9" t="str">
        <f>'Active &amp; Renewals'!C87</f>
        <v>1124</v>
      </c>
      <c r="F82" s="9" t="str">
        <f>'Active &amp; Renewals'!D87</f>
        <v>1144</v>
      </c>
      <c r="G82" s="2">
        <f t="shared" si="90"/>
        <v>20</v>
      </c>
      <c r="H82" s="252" cm="1">
        <f t="array" ref="H82">_xlfn.IFS(G82&gt;20,11,G82&gt;11,10,G82&gt;2,9,G82&gt;0,8,G82&gt;-6,7,G82&gt;-11,6,G82&gt;-16,5,G82&gt;-21,4,G82&gt;-26,3,G82&gt;-31,2,G82&gt;-36,1,TRUE,0)</f>
        <v>10</v>
      </c>
      <c r="I82" s="113" t="str">
        <f>'Active &amp; Renewals'!E87</f>
        <v>86.29</v>
      </c>
      <c r="J82" s="252" cm="1">
        <f t="array" ref="J82">_xlfn.IFS(VALUE(I82)&gt;=90.5,11,VALUE(I82)&gt;=85.5,10,VALUE(I82)&gt;=80.5,9,VALUE(I82)&gt;=75.5,8,VALUE(I82)&gt;=74.5,7,VALUE(I82)&gt;=70.5,6,VALUE(I82)&gt;=64.5,5,VALUE(I82)&gt;=60.5,4,VALUE(I82)&gt;=54.5,3,VALUE(I82)&gt;=50.5,2,VALUE(I82)&gt;=44.5,1,TRUE,0)</f>
        <v>10</v>
      </c>
      <c r="K82" s="195">
        <v>1744.55</v>
      </c>
      <c r="L82" s="195">
        <f>Donations!B78</f>
        <v>2456</v>
      </c>
      <c r="M82" s="267">
        <f t="shared" si="91"/>
        <v>711.45</v>
      </c>
      <c r="N82" s="268">
        <f t="shared" si="92"/>
        <v>1.4078129030408988</v>
      </c>
      <c r="O82" s="252" cm="1">
        <f t="array" ref="O82">_xlfn.IFS(N82&gt;=115.5%,11,N82&gt;=110.5%,10,N82&gt;=100.5%,9,N82&gt;=99.5%,8,N82&gt;=89.5%,7,N82&gt;=75.5%,6,N82&gt;=60.5%,5,N82&gt;=45.5%,4,N82&gt;=30.5%,3,N82&gt;=15.5%,2,N82&gt;=0.5%,1,TRUE,0)</f>
        <v>11</v>
      </c>
      <c r="P82" s="12">
        <f t="shared" si="93"/>
        <v>2.185053380782918</v>
      </c>
      <c r="Q82" s="252" cm="1">
        <f t="array" ref="Q82">_xlfn.IFS(P82&gt;10,11,P82&gt;=8.01,10,P82&gt;=6.01,9,P82&gt;=4.01,8,P82=4,7,P82&gt;=3.01,6,P82&gt;=2.01,5,P82&gt;=1.51,4,P82&gt;=1.01,3,P82&gt;=0.51,2,P82&gt;=0.01,1,TRUE,0)</f>
        <v>5</v>
      </c>
      <c r="R82" s="269">
        <v>3372</v>
      </c>
      <c r="S82" s="184">
        <f>Donations!C78</f>
        <v>1135</v>
      </c>
      <c r="T82" s="279">
        <f t="shared" si="94"/>
        <v>1.0097864768683273</v>
      </c>
      <c r="U82" s="10">
        <f t="shared" si="95"/>
        <v>-2237</v>
      </c>
      <c r="V82" s="252" cm="1">
        <f t="array" ref="V82">_xlfn.IFS(T82&gt;=120%,11,T82&gt;=110.5%,10,T82&gt;=100.5%,9,T82&gt;99.9%,8,T82&gt;=85.5%,7,T82&gt;=72.5%,6,T82&gt;=65.5%,5,T82&gt;=55.5%,4,T82&gt;=45.5%,3,T82&gt;=35.5%,2,T82&gt;=20.5%,1,TRUE,0)</f>
        <v>9</v>
      </c>
      <c r="W82" s="269">
        <f t="shared" si="96"/>
        <v>168.6</v>
      </c>
      <c r="X82" s="184">
        <f>Donations!D78</f>
        <v>275</v>
      </c>
      <c r="Y82" s="269">
        <f t="shared" si="97"/>
        <v>0.24466192170818504</v>
      </c>
      <c r="Z82" s="252" cm="1">
        <f t="array" ref="Z82">_xlfn.IFS(Y82&gt;=0.26,11,Y82&gt;=0.21,10,Y82&gt;=0.16,9,Y82=0.15,8,Y82=0.14,7,Y82=0.13,6,Y82&gt;=0.11,5,Y82&gt;=0.09,4,Y82&gt;=0.07,3,Y82&gt;=0.04,2,Y82&gt;=0.01,1,TRUE,0)</f>
        <v>10</v>
      </c>
      <c r="AA82" s="294" t="str">
        <f>'Active &amp; Renewals'!F87</f>
        <v>SUPERIOR</v>
      </c>
      <c r="AB82" s="281" cm="1">
        <f t="array" ref="AB82">_xlfn.IFS(AA82="SUPERIOR",11,AA82="EXCELLENT",9,AA82="GOOD",7,AA82="LATE",5,AA82="NO GRADE",3,AA82="NA",2,AA82="NO REPORT",0)</f>
        <v>11</v>
      </c>
      <c r="AC82" s="294" t="str">
        <f>'Active &amp; Renewals'!H87</f>
        <v>SUPERIOR</v>
      </c>
      <c r="AD82" s="281" cm="1">
        <f t="array" ref="AD82">_xlfn.IFS(AC82="SUPERIOR",11,AC82="EXCELLENT",9,AC82="GOOD",7,AC82="LATE",5,AC82="NO GRADE",3,AC82="NA",2,AC82="NO REPORT",0)</f>
        <v>11</v>
      </c>
      <c r="AE82" s="284" t="str">
        <f>'Active &amp; Renewals'!J87</f>
        <v>NO REPORT</v>
      </c>
      <c r="AF82" s="281" cm="1">
        <f t="array" ref="AF82">_xlfn.IFS(AE82="SUPERIOR",11,AE82="EXCELLENT",9,AE82="GOOD",7,AE82="LATE",5,AE82="NO GRADE",3,AE82="NA",2,AE82="NO REPORT",0)</f>
        <v>0</v>
      </c>
      <c r="AG82" s="284" t="str">
        <f>'Active &amp; Renewals'!L87</f>
        <v>NO REPORT</v>
      </c>
      <c r="AH82" s="281" cm="1">
        <f t="array" ref="AH82">_xlfn.IFS(AG82="SUPERIOR",11,AG82="EXCELLENT",9,AG82="GOOD",7,AG82="LATE",5,AG82="NO GRADE",3,AG82="NA",2,AG82="NO REPORT",0)</f>
        <v>0</v>
      </c>
      <c r="AI82" s="252">
        <f t="shared" si="98"/>
        <v>22</v>
      </c>
      <c r="AJ82" s="188" t="s">
        <v>653</v>
      </c>
      <c r="AK82" s="252" cm="1">
        <f t="array" ref="AK82">_xlfn.IFS(AJ82="8/8",11,AJ82="7/8",7,AJ82="6/8",6,AJ82="5/8",5,AJ82="4/8",4,AJ82="3/8",3,AJ82="2/8",2,AJ82="1/8",1,AJ82="0/8",0,TRUE,0)</f>
        <v>6</v>
      </c>
      <c r="AL82" s="189">
        <v>3</v>
      </c>
      <c r="AM82" s="300" cm="1">
        <f t="array" ref="AM82">_xlfn.IFS(AL82&gt;6,11,AL82&gt;=4,10,AL82&gt;=2,9,AL82=1,8,TRUE,0)</f>
        <v>9</v>
      </c>
      <c r="AN82" s="184">
        <f>Donations!E78</f>
        <v>100</v>
      </c>
      <c r="AO82" s="300" cm="1">
        <f t="array" ref="AO82">_xlfn.IFS(AN82&gt;125,11,AN82&gt;=116,10,AN82&gt;=101,9,AN82=100,8,AN82&gt;=86,7,AN82&gt;=71,6,AN82&gt;=61,5,AN82&gt;=51,4,AN82&gt;=41,3,AN82&gt;=26,2,AN82&gt;=1,1,TRUE,0)</f>
        <v>8</v>
      </c>
      <c r="AP82" s="190">
        <f>Donations!F78</f>
        <v>250</v>
      </c>
      <c r="AQ82" s="300" cm="1">
        <f t="array" ref="AQ82">_xlfn.IFS(AP82&gt;600,11,AP82&gt;=551,10,AP82&gt;=501,9,AP82=500,8,AP82&gt;=326,7,AP82&gt;=251,6,AP82&gt;=201,5,AP82&gt;=151,4,AP82&gt;=101,3,AP82&gt;=76,2,AP82&gt;=1,1,TRUE,0)</f>
        <v>5</v>
      </c>
      <c r="AR82" s="350"/>
      <c r="AS82" s="350"/>
      <c r="AT82" s="350"/>
      <c r="AU82" s="353"/>
      <c r="AV82" s="191">
        <v>3</v>
      </c>
      <c r="AW82" s="187">
        <v>4</v>
      </c>
      <c r="AX82" s="187">
        <v>5</v>
      </c>
      <c r="AY82" s="252">
        <f t="shared" si="100"/>
        <v>12</v>
      </c>
      <c r="AZ82" s="192" t="s">
        <v>651</v>
      </c>
      <c r="BA82" s="181">
        <v>11</v>
      </c>
      <c r="BB82" s="193">
        <v>0</v>
      </c>
      <c r="BC82" s="252" cm="1">
        <f t="array" ref="BC82">_xlfn.IFS(BB82=0,11,TRUE,0)</f>
        <v>11</v>
      </c>
      <c r="BD82" s="183">
        <v>4</v>
      </c>
      <c r="BE82" s="183">
        <v>4</v>
      </c>
      <c r="BF82" s="183">
        <v>0</v>
      </c>
      <c r="BG82" s="252">
        <f t="shared" si="101"/>
        <v>8</v>
      </c>
      <c r="BH82" s="183">
        <v>3</v>
      </c>
      <c r="BI82" s="183">
        <v>3</v>
      </c>
      <c r="BJ82" s="183">
        <v>0</v>
      </c>
      <c r="BK82" s="252">
        <f t="shared" si="102"/>
        <v>6</v>
      </c>
    </row>
    <row r="83" spans="1:63" ht="15.75" x14ac:dyDescent="0.25">
      <c r="A83" s="180" t="s">
        <v>49</v>
      </c>
      <c r="B83" s="252">
        <f t="shared" si="89"/>
        <v>119</v>
      </c>
      <c r="C83" s="253">
        <f t="shared" si="103"/>
        <v>7</v>
      </c>
      <c r="D83" s="260">
        <f>'Lodge Rank by District'!E62</f>
        <v>62</v>
      </c>
      <c r="E83" s="9" t="str">
        <f>'Active &amp; Renewals'!C98</f>
        <v>1677</v>
      </c>
      <c r="F83" s="9" t="str">
        <f>'Active &amp; Renewals'!D98</f>
        <v>1820</v>
      </c>
      <c r="G83" s="2">
        <f t="shared" si="90"/>
        <v>143</v>
      </c>
      <c r="H83" s="252" cm="1">
        <f t="array" ref="H83">_xlfn.IFS(G83&gt;20,11,G83&gt;11,10,G83&gt;2,9,G83&gt;0,8,G83&gt;-6,7,G83&gt;-11,6,G83&gt;-16,5,G83&gt;-21,4,G83&gt;-26,3,G83&gt;-31,2,G83&gt;-36,1,TRUE,0)</f>
        <v>11</v>
      </c>
      <c r="I83" s="113" t="str">
        <f>'Active &amp; Renewals'!E98</f>
        <v>87.16</v>
      </c>
      <c r="J83" s="252" cm="1">
        <f t="array" ref="J83">_xlfn.IFS(VALUE(I83)&gt;=90.5,11,VALUE(I83)&gt;=85.5,10,VALUE(I83)&gt;=80.5,9,VALUE(I83)&gt;=75.5,8,VALUE(I83)&gt;=74.5,7,VALUE(I83)&gt;=70.5,6,VALUE(I83)&gt;=64.5,5,VALUE(I83)&gt;=60.5,4,VALUE(I83)&gt;=54.5,3,VALUE(I83)&gt;=50.5,2,VALUE(I83)&gt;=44.5,1,TRUE,0)</f>
        <v>10</v>
      </c>
      <c r="K83" s="195">
        <v>5274</v>
      </c>
      <c r="L83" s="195">
        <f>Donations!B15</f>
        <v>4378</v>
      </c>
      <c r="M83" s="267">
        <f t="shared" si="91"/>
        <v>-896</v>
      </c>
      <c r="N83" s="268">
        <f t="shared" si="92"/>
        <v>0.8301099734546834</v>
      </c>
      <c r="O83" s="252" cm="1">
        <f t="array" ref="O83">_xlfn.IFS(N83&gt;=115.5%,11,N83&gt;=110.5%,10,N83&gt;=100.5%,9,N83&gt;=99.5%,8,N83&gt;=89.5%,7,N83&gt;=75.5%,6,N83&gt;=60.5%,5,N83&gt;=45.5%,4,N83&gt;=30.5%,3,N83&gt;=15.5%,2,N83&gt;=0.5%,1,TRUE,0)</f>
        <v>6</v>
      </c>
      <c r="P83" s="12">
        <f t="shared" si="93"/>
        <v>2.6106141920095407</v>
      </c>
      <c r="Q83" s="252" cm="1">
        <f t="array" ref="Q83">_xlfn.IFS(P83&gt;10,11,P83&gt;=8.01,10,P83&gt;=6.01,9,P83&gt;=4.01,8,P83=4,7,P83&gt;=3.01,6,P83&gt;=2.01,5,P83&gt;=1.51,4,P83&gt;=1.01,3,P83&gt;=0.51,2,P83&gt;=0.01,1,TRUE,0)</f>
        <v>5</v>
      </c>
      <c r="R83" s="269">
        <v>5031</v>
      </c>
      <c r="S83" s="184">
        <f>Donations!C15</f>
        <v>2177</v>
      </c>
      <c r="T83" s="279">
        <f t="shared" si="94"/>
        <v>1.2981514609421587</v>
      </c>
      <c r="U83" s="10">
        <f t="shared" si="95"/>
        <v>-2854</v>
      </c>
      <c r="V83" s="252" cm="1">
        <f t="array" ref="V83">_xlfn.IFS(T83&gt;=120%,11,T83&gt;=110.5%,10,T83&gt;=100.5%,9,T83&gt;99.9%,8,T83&gt;=85.5%,7,T83&gt;=72.5%,6,T83&gt;=65.5%,5,T83&gt;=55.5%,4,T83&gt;=45.5%,3,T83&gt;=35.5%,2,T83&gt;=20.5%,1,TRUE,0)</f>
        <v>11</v>
      </c>
      <c r="W83" s="269">
        <f t="shared" si="96"/>
        <v>251.54999999999998</v>
      </c>
      <c r="X83" s="184">
        <f>Donations!D15</f>
        <v>300</v>
      </c>
      <c r="Y83" s="269">
        <f t="shared" si="97"/>
        <v>0.17889087656529518</v>
      </c>
      <c r="Z83" s="252" cm="1">
        <f t="array" ref="Z83">_xlfn.IFS(Y83&gt;=0.26,11,Y83&gt;=0.21,10,Y83&gt;=0.16,9,Y83=0.15,8,Y83=0.14,7,Y83=0.13,6,Y83&gt;=0.11,5,Y83&gt;=0.09,4,Y83&gt;=0.07,3,Y83&gt;=0.04,2,Y83&gt;=0.01,1,TRUE,0)</f>
        <v>9</v>
      </c>
      <c r="AA83" s="294" t="str">
        <f>'Active &amp; Renewals'!F98</f>
        <v>NO GRADE</v>
      </c>
      <c r="AB83" s="281" cm="1">
        <f t="array" ref="AB83">_xlfn.IFS(AA83="SUPERIOR",11,AA83="EXCELLENT",9,AA83="GOOD",7,AA83="LATE",5,AA83="NO GRADE",3,AA83="NA",2,AA83="NO REPORT",0)</f>
        <v>3</v>
      </c>
      <c r="AC83" s="294" t="str">
        <f>'Active &amp; Renewals'!H98</f>
        <v>SUPERIOR</v>
      </c>
      <c r="AD83" s="281" cm="1">
        <f t="array" ref="AD83">_xlfn.IFS(AC83="SUPERIOR",11,AC83="EXCELLENT",9,AC83="GOOD",7,AC83="LATE",5,AC83="NO GRADE",3,AC83="NA",2,AC83="NO REPORT",0)</f>
        <v>11</v>
      </c>
      <c r="AE83" s="284" t="str">
        <f>'Active &amp; Renewals'!J98</f>
        <v>NO REPORT</v>
      </c>
      <c r="AF83" s="281" cm="1">
        <f t="array" ref="AF83">_xlfn.IFS(AE83="SUPERIOR",11,AE83="EXCELLENT",9,AE83="GOOD",7,AE83="LATE",5,AE83="NO GRADE",3,AE83="NA",2,AE83="NO REPORT",0)</f>
        <v>0</v>
      </c>
      <c r="AG83" s="284" t="str">
        <f>'Active &amp; Renewals'!L98</f>
        <v>NO REPORT</v>
      </c>
      <c r="AH83" s="281" cm="1">
        <f t="array" ref="AH83">_xlfn.IFS(AG83="SUPERIOR",11,AG83="EXCELLENT",9,AG83="GOOD",7,AG83="LATE",5,AG83="NO GRADE",3,AG83="NA",2,AG83="NO REPORT",0)</f>
        <v>0</v>
      </c>
      <c r="AI83" s="252">
        <f t="shared" si="98"/>
        <v>14</v>
      </c>
      <c r="AJ83" s="188" t="s">
        <v>655</v>
      </c>
      <c r="AK83" s="252" cm="1">
        <f t="array" ref="AK83">_xlfn.IFS(AJ83="8/8",11,AJ83="7/8",7,AJ83="6/8",6,AJ83="5/8",5,AJ83="4/8",4,AJ83="3/8",3,AJ83="2/8",2,AJ83="1/8",1,AJ83="0/8",0,TRUE,0)</f>
        <v>11</v>
      </c>
      <c r="AL83" s="189">
        <v>1</v>
      </c>
      <c r="AM83" s="300" cm="1">
        <f t="array" ref="AM83">_xlfn.IFS(AL83&gt;6,11,AL83&gt;=4,10,AL83&gt;=2,9,AL83=1,8,TRUE,0)</f>
        <v>8</v>
      </c>
      <c r="AN83" s="184">
        <f>Donations!E15</f>
        <v>100</v>
      </c>
      <c r="AO83" s="300" cm="1">
        <f t="array" ref="AO83">_xlfn.IFS(AN83&gt;125,11,AN83&gt;=116,10,AN83&gt;=101,9,AN83=100,8,AN83&gt;=86,7,AN83&gt;=71,6,AN83&gt;=61,5,AN83&gt;=51,4,AN83&gt;=41,3,AN83&gt;=26,2,AN83&gt;=1,1,TRUE,0)</f>
        <v>8</v>
      </c>
      <c r="AP83" s="190">
        <f>Donations!F15</f>
        <v>50</v>
      </c>
      <c r="AQ83" s="300" cm="1">
        <f t="array" ref="AQ83">_xlfn.IFS(AP83&gt;600,11,AP83&gt;=551,10,AP83&gt;=501,9,AP83=500,8,AP83&gt;=326,7,AP83&gt;=251,6,AP83&gt;=201,5,AP83&gt;=151,4,AP83&gt;=101,3,AP83&gt;=76,2,AP83&gt;=1,1,TRUE,0)</f>
        <v>1</v>
      </c>
      <c r="AR83" s="351"/>
      <c r="AS83" s="351"/>
      <c r="AT83" s="351"/>
      <c r="AU83" s="354"/>
      <c r="AV83" s="191">
        <v>3</v>
      </c>
      <c r="AW83" s="187">
        <v>3</v>
      </c>
      <c r="AX83" s="187">
        <v>2</v>
      </c>
      <c r="AY83" s="252">
        <f t="shared" si="100"/>
        <v>8</v>
      </c>
      <c r="AZ83" s="192"/>
      <c r="BA83" s="181"/>
      <c r="BB83" s="193">
        <v>0</v>
      </c>
      <c r="BC83" s="252" cm="1">
        <f t="array" ref="BC83">_xlfn.IFS(BB83=0,11,TRUE,0)</f>
        <v>11</v>
      </c>
      <c r="BD83" s="183">
        <v>2</v>
      </c>
      <c r="BE83" s="183">
        <v>0</v>
      </c>
      <c r="BF83" s="183">
        <v>3</v>
      </c>
      <c r="BG83" s="252">
        <f t="shared" si="101"/>
        <v>5</v>
      </c>
      <c r="BH83" s="183">
        <v>0</v>
      </c>
      <c r="BI83" s="183">
        <v>0</v>
      </c>
      <c r="BJ83" s="183">
        <v>1</v>
      </c>
      <c r="BK83" s="252">
        <f t="shared" si="102"/>
        <v>1</v>
      </c>
    </row>
    <row r="84" spans="1:63" s="228" customFormat="1" ht="18.75" x14ac:dyDescent="0.25">
      <c r="A84" s="196" t="s">
        <v>1</v>
      </c>
      <c r="B84" s="254">
        <f>SUM(B72:B83)/12</f>
        <v>115.83333333333333</v>
      </c>
      <c r="C84" s="2"/>
      <c r="D84" s="256">
        <f>'District '!H22</f>
        <v>8</v>
      </c>
      <c r="E84" s="5"/>
      <c r="F84" s="9" t="s">
        <v>0</v>
      </c>
      <c r="G84" s="1"/>
      <c r="H84" s="1"/>
      <c r="I84" s="307"/>
      <c r="J84" s="1"/>
      <c r="K84" s="210"/>
      <c r="L84" s="226">
        <f>SUM(L72:L83)</f>
        <v>21960.25</v>
      </c>
      <c r="M84" s="4"/>
      <c r="N84" s="97"/>
      <c r="O84" s="1"/>
      <c r="P84" s="3"/>
      <c r="Q84" s="1"/>
      <c r="R84" s="267" t="s">
        <v>0</v>
      </c>
      <c r="S84" s="202"/>
      <c r="T84" s="97"/>
      <c r="U84" s="1"/>
      <c r="V84" s="1"/>
      <c r="W84" s="1"/>
      <c r="X84" s="283" t="s">
        <v>0</v>
      </c>
      <c r="Y84" s="269"/>
      <c r="Z84" s="1"/>
      <c r="AA84" s="2"/>
      <c r="AB84" s="2"/>
      <c r="AC84" s="2"/>
      <c r="AD84" s="2"/>
      <c r="AE84" s="7"/>
      <c r="AF84" s="18"/>
      <c r="AG84" s="7"/>
      <c r="AH84" s="2"/>
      <c r="AI84" s="1"/>
      <c r="AJ84" s="204"/>
      <c r="AK84" s="1"/>
      <c r="AL84" s="197"/>
      <c r="AM84" s="1"/>
      <c r="AN84" s="205"/>
      <c r="AO84" s="1"/>
      <c r="AP84" s="206"/>
      <c r="AQ84" s="1"/>
      <c r="AR84" s="207"/>
      <c r="AS84" s="207"/>
      <c r="AT84" s="207"/>
      <c r="AU84" s="275"/>
      <c r="AV84" s="212"/>
      <c r="AW84" s="212"/>
      <c r="AX84" s="209"/>
      <c r="AY84" s="1"/>
      <c r="AZ84" s="204"/>
      <c r="BA84" s="197"/>
      <c r="BB84" s="210"/>
      <c r="BC84" s="1"/>
      <c r="BD84" s="197"/>
      <c r="BE84" s="183"/>
      <c r="BF84" s="197"/>
      <c r="BG84" s="1"/>
      <c r="BH84" s="197"/>
      <c r="BI84" s="197"/>
      <c r="BJ84" s="211"/>
      <c r="BK84" s="1"/>
    </row>
    <row r="85" spans="1:63" ht="18.75" x14ac:dyDescent="0.25">
      <c r="A85" s="229"/>
      <c r="B85" s="261"/>
      <c r="C85" s="262"/>
      <c r="D85" s="263"/>
      <c r="E85" s="22"/>
      <c r="F85" s="22"/>
      <c r="G85" s="22"/>
      <c r="H85" s="17"/>
      <c r="I85" s="309"/>
      <c r="J85" s="17"/>
      <c r="K85" s="231"/>
      <c r="L85" s="231"/>
      <c r="M85" s="26"/>
      <c r="N85" s="98"/>
      <c r="O85" s="17"/>
      <c r="P85" s="25"/>
      <c r="Q85" s="17"/>
      <c r="R85" s="277" t="s">
        <v>0</v>
      </c>
      <c r="S85" s="232"/>
      <c r="T85" s="98"/>
      <c r="U85" s="17"/>
      <c r="V85" s="17"/>
      <c r="W85" s="17"/>
      <c r="X85" s="292"/>
      <c r="Y85" s="289"/>
      <c r="Z85" s="257"/>
      <c r="AA85" s="22"/>
      <c r="AB85" s="22"/>
      <c r="AC85" s="22"/>
      <c r="AD85" s="22"/>
      <c r="AE85" s="133"/>
      <c r="AF85" s="23"/>
      <c r="AG85" s="133"/>
      <c r="AH85" s="22"/>
      <c r="AI85" s="17"/>
      <c r="AJ85" s="233"/>
      <c r="AK85" s="17"/>
      <c r="AL85" s="230"/>
      <c r="AM85" s="17"/>
      <c r="AN85" s="234"/>
      <c r="AO85" s="17"/>
      <c r="AP85" s="235"/>
      <c r="AQ85" s="17"/>
      <c r="AR85" s="237"/>
      <c r="AS85" s="237"/>
      <c r="AT85" s="237"/>
      <c r="AU85" s="22"/>
      <c r="AV85" s="238"/>
      <c r="AW85" s="238"/>
      <c r="AX85" s="237"/>
      <c r="AY85" s="22"/>
      <c r="AZ85" s="233"/>
      <c r="BA85" s="217"/>
      <c r="BB85" s="231"/>
      <c r="BC85" s="17"/>
      <c r="BD85" s="217"/>
      <c r="BE85" s="217"/>
      <c r="BF85" s="217"/>
      <c r="BG85" s="17"/>
      <c r="BH85" s="217"/>
      <c r="BI85" s="217"/>
      <c r="BJ85" s="217"/>
      <c r="BK85" s="17"/>
    </row>
    <row r="86" spans="1:63" ht="18.75" x14ac:dyDescent="0.25">
      <c r="A86" s="196" t="s">
        <v>48</v>
      </c>
      <c r="B86" s="2"/>
      <c r="C86" s="2"/>
      <c r="D86" s="2"/>
      <c r="E86" s="5"/>
      <c r="F86" s="5"/>
      <c r="G86" s="1"/>
      <c r="H86" s="1"/>
      <c r="I86" s="307"/>
      <c r="J86" s="1"/>
      <c r="K86" s="210"/>
      <c r="L86" s="210"/>
      <c r="M86" s="4"/>
      <c r="N86" s="97"/>
      <c r="O86" s="1"/>
      <c r="P86" s="3"/>
      <c r="Q86" s="1"/>
      <c r="R86" s="267" t="s">
        <v>0</v>
      </c>
      <c r="S86" s="202"/>
      <c r="T86" s="97"/>
      <c r="U86" s="1"/>
      <c r="V86" s="1"/>
      <c r="W86" s="1"/>
      <c r="X86" s="285"/>
      <c r="Y86" s="269"/>
      <c r="Z86" s="1"/>
      <c r="AA86" s="2"/>
      <c r="AB86" s="2"/>
      <c r="AC86" s="2"/>
      <c r="AD86" s="2"/>
      <c r="AE86" s="7"/>
      <c r="AF86" s="18"/>
      <c r="AG86" s="7"/>
      <c r="AH86" s="2"/>
      <c r="AI86" s="1"/>
      <c r="AJ86" s="204"/>
      <c r="AK86" s="1"/>
      <c r="AL86" s="197"/>
      <c r="AM86" s="1"/>
      <c r="AN86" s="205"/>
      <c r="AO86" s="1"/>
      <c r="AP86" s="206"/>
      <c r="AQ86" s="1"/>
      <c r="AR86" s="207"/>
      <c r="AS86" s="207"/>
      <c r="AT86" s="207"/>
      <c r="AU86" s="275"/>
      <c r="AV86" s="212"/>
      <c r="AW86" s="212"/>
      <c r="AX86" s="209"/>
      <c r="AY86" s="1"/>
      <c r="AZ86" s="204"/>
      <c r="BA86" s="197"/>
      <c r="BB86" s="210"/>
      <c r="BC86" s="1"/>
      <c r="BD86" s="197"/>
      <c r="BE86" s="197"/>
      <c r="BF86" s="197"/>
      <c r="BG86" s="1"/>
      <c r="BH86" s="197"/>
      <c r="BI86" s="197"/>
      <c r="BJ86" s="211"/>
      <c r="BK86" s="1"/>
    </row>
    <row r="87" spans="1:63" ht="15.75" x14ac:dyDescent="0.25">
      <c r="A87" s="239" t="s">
        <v>47</v>
      </c>
      <c r="B87" s="252">
        <f t="shared" ref="B87:B95" si="104">+H87+J87+O87+Q87+V87+Z87+AI87+AK87+AM87+AO87+AQ87+AY87+BA87+BC87+BG87+BK87</f>
        <v>131</v>
      </c>
      <c r="C87" s="253">
        <f>RANK(B87,$B$87:$B$95)</f>
        <v>3</v>
      </c>
      <c r="D87" s="260">
        <f>'Lodge Rank by District'!E63</f>
        <v>46</v>
      </c>
      <c r="E87" s="9" t="str">
        <f>'Active &amp; Renewals'!C2</f>
        <v>419</v>
      </c>
      <c r="F87" s="9" t="str">
        <f>'Active &amp; Renewals'!D2</f>
        <v>449</v>
      </c>
      <c r="G87" s="2">
        <f t="shared" ref="G87:G95" si="105">+F87-E87</f>
        <v>30</v>
      </c>
      <c r="H87" s="252" cm="1">
        <f t="array" ref="H87">_xlfn.IFS(G87&gt;20,11,G87&gt;11,10,G87&gt;2,9,G87&gt;0,8,G87&gt;-6,7,G87&gt;-11,6,G87&gt;-16,5,G87&gt;-21,4,G87&gt;-26,3,G87&gt;-31,2,G87&gt;-36,1,TRUE,0)</f>
        <v>11</v>
      </c>
      <c r="I87" s="338" t="str">
        <f>'Active &amp; Renewals'!E2</f>
        <v>81.62</v>
      </c>
      <c r="J87" s="252" cm="1">
        <f t="array" ref="J87">_xlfn.IFS(VALUE(I87)&gt;=90.5,11,VALUE(I87)&gt;=85.5,10,VALUE(I87)&gt;=80.5,9,VALUE(I87)&gt;=75.5,8,VALUE(I87)&gt;=74.5,7,VALUE(I87)&gt;=70.5,6,VALUE(I87)&gt;=64.5,5,VALUE(I87)&gt;=60.5,4,VALUE(I87)&gt;=54.5,3,VALUE(I87)&gt;=50.5,2,VALUE(I87)&gt;=44.5,1,TRUE,0)</f>
        <v>9</v>
      </c>
      <c r="K87" s="195">
        <v>1777.5</v>
      </c>
      <c r="L87" s="195">
        <f>Donations!B21</f>
        <v>1965</v>
      </c>
      <c r="M87" s="267">
        <f t="shared" ref="M87:M95" si="106">+L87-K87</f>
        <v>187.5</v>
      </c>
      <c r="N87" s="268">
        <f t="shared" ref="N87:N95" si="107">+L87/K87</f>
        <v>1.1054852320675106</v>
      </c>
      <c r="O87" s="252" cm="1">
        <f t="array" ref="O87">_xlfn.IFS(N87&gt;=115.5%,11,N87&gt;=110.5%,10,N87&gt;=100.5%,9,N87&gt;=99.5%,8,N87&gt;=89.5%,7,N87&gt;=75.5%,6,N87&gt;=60.5%,5,N87&gt;=45.5%,4,N87&gt;=30.5%,3,N87&gt;=15.5%,2,N87&gt;=0.5%,1,TRUE,0)</f>
        <v>10</v>
      </c>
      <c r="P87" s="12">
        <f t="shared" ref="P87:P95" si="108">+L87/E87</f>
        <v>4.6897374701670644</v>
      </c>
      <c r="Q87" s="252" cm="1">
        <f t="array" ref="Q87">_xlfn.IFS(P87&gt;10,11,P87&gt;=8.01,10,P87&gt;=6.01,9,P87&gt;=4.01,8,P87=4,7,P87&gt;=3.01,6,P87&gt;=2.01,5,P87&gt;=1.51,4,P87&gt;=1.01,3,P87&gt;=0.51,2,P87&gt;=0.01,1,TRUE,0)</f>
        <v>8</v>
      </c>
      <c r="R87" s="269">
        <v>1257</v>
      </c>
      <c r="S87" s="184">
        <f>Donations!C21</f>
        <v>575</v>
      </c>
      <c r="T87" s="279">
        <f t="shared" ref="T87:T95" si="109">+S87/(R87/3)</f>
        <v>1.3723150357995226</v>
      </c>
      <c r="U87" s="10">
        <f t="shared" ref="U87:U95" si="110">+S87-R87</f>
        <v>-682</v>
      </c>
      <c r="V87" s="252" cm="1">
        <f t="array" ref="V87">_xlfn.IFS(T87&gt;=120%,11,T87&gt;=110.5%,10,T87&gt;=100.5%,9,T87&gt;99.9%,8,T87&gt;=85.5%,7,T87&gt;=72.5%,6,T87&gt;=65.5%,5,T87&gt;=55.5%,4,T87&gt;=45.5%,3,T87&gt;=35.5%,2,T87&gt;=20.5%,1,TRUE,0)</f>
        <v>11</v>
      </c>
      <c r="W87" s="269">
        <f t="shared" ref="W87:W95" si="111">E87*0.15</f>
        <v>62.849999999999994</v>
      </c>
      <c r="X87" s="184">
        <f>Donations!D21</f>
        <v>100</v>
      </c>
      <c r="Y87" s="269">
        <f t="shared" ref="Y87:Y95" si="112">+X87/E87</f>
        <v>0.2386634844868735</v>
      </c>
      <c r="Z87" s="252" cm="1">
        <f t="array" ref="Z87">_xlfn.IFS(Y87&gt;=0.26,11,Y87&gt;=0.21,10,Y87&gt;=0.16,9,Y87=0.15,8,Y87=0.14,7,Y87=0.13,6,Y87&gt;=0.11,5,Y87&gt;=0.09,4,Y87&gt;=0.07,3,Y87&gt;=0.04,2,Y87&gt;=0.01,1,TRUE,0)</f>
        <v>10</v>
      </c>
      <c r="AA87" s="294" t="str">
        <f>'Active &amp; Renewals'!F2</f>
        <v>SUPERIOR</v>
      </c>
      <c r="AB87" s="281" cm="1">
        <f t="array" ref="AB87">_xlfn.IFS(AA87="SUPERIOR",11,AA87="EXCELLENT",9,AA87="GOOD",7,AA87="LATE",5,AA87="NO GRADE",3,AA87="NA",2,AA87="NO REPORT",0)</f>
        <v>11</v>
      </c>
      <c r="AC87" s="294" t="str">
        <f>'Active &amp; Renewals'!H2</f>
        <v>SUPERIOR</v>
      </c>
      <c r="AD87" s="281" cm="1">
        <f t="array" ref="AD87">_xlfn.IFS(AC87="SUPERIOR",11,AC87="EXCELLENT",9,AC87="GOOD",7,AC87="LATE",5,AC87="NO GRADE",3,AC87="NA",2,AC87="NO REPORT",0)</f>
        <v>11</v>
      </c>
      <c r="AE87" s="284" t="str">
        <f>'Active &amp; Renewals'!J2</f>
        <v>NO REPORT</v>
      </c>
      <c r="AF87" s="281" cm="1">
        <f t="array" ref="AF87">_xlfn.IFS(AE87="SUPERIOR",11,AE87="EXCELLENT",9,AE87="GOOD",7,AE87="LATE",5,AE87="NO GRADE",3,AE87="NA",2,AE87="NO REPORT",0)</f>
        <v>0</v>
      </c>
      <c r="AG87" s="284" t="str">
        <f>'Active &amp; Renewals'!L2</f>
        <v>NO REPORT</v>
      </c>
      <c r="AH87" s="281" cm="1">
        <f t="array" ref="AH87">_xlfn.IFS(AG87="SUPERIOR",11,AG87="EXCELLENT",9,AG87="GOOD",7,AG87="LATE",5,AG87="NO GRADE",3,AG87="NA",2,AG87="NO REPORT",0)</f>
        <v>0</v>
      </c>
      <c r="AI87" s="252">
        <f t="shared" ref="AI87:AI95" si="113">SUM(AB87+AD87+AF87+AH87)</f>
        <v>22</v>
      </c>
      <c r="AJ87" s="188" t="s">
        <v>658</v>
      </c>
      <c r="AK87" s="298" cm="1">
        <f t="array" ref="AK87">_xlfn.IFS(AJ87="8/8",11,AJ87="7/8",7,AJ87="6/8",6,AJ87="5/8",5,AJ87="4/8",4,AJ87="3/8",3,AJ87="2/8",2,AJ87="1/8",1,AJ87="0/8",0,TRUE,0)</f>
        <v>4</v>
      </c>
      <c r="AL87" s="189">
        <v>1</v>
      </c>
      <c r="AM87" s="300" cm="1">
        <f t="array" ref="AM87">_xlfn.IFS(AL87&gt;6,11,AL87&gt;=4,10,AL87&gt;=2,9,AL87=1,8,TRUE,0)</f>
        <v>8</v>
      </c>
      <c r="AN87" s="184">
        <f>Donations!E21</f>
        <v>100</v>
      </c>
      <c r="AO87" s="300" cm="1">
        <f t="array" ref="AO87">_xlfn.IFS(AN87&gt;125,11,AN87&gt;=116,10,AN87&gt;=101,9,AN87=100,8,AN87&gt;=86,7,AN87&gt;=71,6,AN87&gt;=61,5,AN87&gt;=51,4,AN87&gt;=41,3,AN87&gt;=26,2,AN87&gt;=1,1,TRUE,0)</f>
        <v>8</v>
      </c>
      <c r="AP87" s="184">
        <f>Donations!F21</f>
        <v>300</v>
      </c>
      <c r="AQ87" s="300" cm="1">
        <f t="array" ref="AQ87">_xlfn.IFS(AP87&gt;600,11,AP87&gt;=551,10,AP87&gt;=501,9,AP87=500,8,AP87&gt;=326,7,AP87&gt;=251,6,AP87&gt;=201,5,AP87&gt;=151,4,AP87&gt;=101,3,AP87&gt;=76,2,AP87&gt;=1,1,TRUE,0)</f>
        <v>6</v>
      </c>
      <c r="AR87" s="349">
        <v>4</v>
      </c>
      <c r="AS87" s="349">
        <v>6</v>
      </c>
      <c r="AT87" s="349">
        <v>5</v>
      </c>
      <c r="AU87" s="352">
        <f t="shared" ref="AU87" si="114">+AR87+AS87+AT87</f>
        <v>15</v>
      </c>
      <c r="AV87" s="191">
        <v>1</v>
      </c>
      <c r="AW87" s="187">
        <v>1</v>
      </c>
      <c r="AX87" s="187">
        <v>4</v>
      </c>
      <c r="AY87" s="252">
        <f t="shared" ref="AY87:AY95" si="115">+AV87+AW87+AX87</f>
        <v>6</v>
      </c>
      <c r="AZ87" s="192"/>
      <c r="BA87" s="240"/>
      <c r="BB87" s="193">
        <v>0</v>
      </c>
      <c r="BC87" s="252" cm="1">
        <f t="array" ref="BC87">_xlfn.IFS(BB87=0,11,TRUE,0)</f>
        <v>11</v>
      </c>
      <c r="BD87" s="183">
        <v>0</v>
      </c>
      <c r="BE87" s="183">
        <v>0</v>
      </c>
      <c r="BF87" s="183">
        <v>4</v>
      </c>
      <c r="BG87" s="252">
        <f t="shared" ref="BG87:BG95" si="116">SUM(BD87+BE87+BF87)</f>
        <v>4</v>
      </c>
      <c r="BH87" s="183">
        <v>0</v>
      </c>
      <c r="BI87" s="183">
        <v>0</v>
      </c>
      <c r="BJ87" s="183">
        <v>3</v>
      </c>
      <c r="BK87" s="252">
        <f t="shared" ref="BK87:BK95" si="117">SUM(BH87+BI87+BJ87)</f>
        <v>3</v>
      </c>
    </row>
    <row r="88" spans="1:63" ht="15.75" x14ac:dyDescent="0.25">
      <c r="A88" s="180" t="s">
        <v>46</v>
      </c>
      <c r="B88" s="252">
        <f t="shared" si="104"/>
        <v>120</v>
      </c>
      <c r="C88" s="253">
        <f t="shared" ref="C88:C95" si="118">RANK(B88,$B$87:$B$95)</f>
        <v>5</v>
      </c>
      <c r="D88" s="260">
        <f>'Lodge Rank by District'!E64</f>
        <v>61</v>
      </c>
      <c r="E88" s="9" t="str">
        <f>'Active &amp; Renewals'!C3</f>
        <v>129</v>
      </c>
      <c r="F88" s="9" t="str">
        <f>'Active &amp; Renewals'!D3</f>
        <v>112</v>
      </c>
      <c r="G88" s="2">
        <f t="shared" si="105"/>
        <v>-17</v>
      </c>
      <c r="H88" s="252" cm="1">
        <f t="array" ref="H88">_xlfn.IFS(G88&gt;20,11,G88&gt;11,10,G88&gt;2,9,G88&gt;0,8,G88&gt;-6,7,G88&gt;-11,6,G88&gt;-16,5,G88&gt;-21,4,G88&gt;-26,3,G88&gt;-31,2,G88&gt;-36,1,TRUE,0)</f>
        <v>4</v>
      </c>
      <c r="I88" s="113" t="str">
        <f>'Active &amp; Renewals'!E3</f>
        <v>73.64</v>
      </c>
      <c r="J88" s="252" cm="1">
        <f t="array" ref="J88">_xlfn.IFS(VALUE(I88)&gt;=90.5,11,VALUE(I88)&gt;=85.5,10,VALUE(I88)&gt;=80.5,9,VALUE(I88)&gt;=75.5,8,VALUE(I88)&gt;=74.5,7,VALUE(I88)&gt;=70.5,6,VALUE(I88)&gt;=64.5,5,VALUE(I88)&gt;=60.5,4,VALUE(I88)&gt;=54.5,3,VALUE(I88)&gt;=50.5,2,VALUE(I88)&gt;=44.5,1,TRUE,0)</f>
        <v>6</v>
      </c>
      <c r="K88" s="195">
        <v>2142</v>
      </c>
      <c r="L88" s="195">
        <f>Donations!B93</f>
        <v>296</v>
      </c>
      <c r="M88" s="267">
        <f t="shared" si="106"/>
        <v>-1846</v>
      </c>
      <c r="N88" s="268">
        <f t="shared" si="107"/>
        <v>0.13818860877684408</v>
      </c>
      <c r="O88" s="252" cm="1">
        <f t="array" ref="O88">_xlfn.IFS(N88&gt;=115.5%,11,N88&gt;=110.5%,10,N88&gt;=100.5%,9,N88&gt;=99.5%,8,N88&gt;=89.5%,7,N88&gt;=75.5%,6,N88&gt;=60.5%,5,N88&gt;=45.5%,4,N88&gt;=30.5%,3,N88&gt;=15.5%,2,N88&gt;=0.5%,1,TRUE,0)</f>
        <v>1</v>
      </c>
      <c r="P88" s="12">
        <f t="shared" si="108"/>
        <v>2.2945736434108528</v>
      </c>
      <c r="Q88" s="252" cm="1">
        <f t="array" ref="Q88">_xlfn.IFS(P88&gt;10,11,P88&gt;=8.01,10,P88&gt;=6.01,9,P88&gt;=4.01,8,P88=4,7,P88&gt;=3.01,6,P88&gt;=2.01,5,P88&gt;=1.51,4,P88&gt;=1.01,3,P88&gt;=0.51,2,P88&gt;=0.01,1,TRUE,0)</f>
        <v>5</v>
      </c>
      <c r="R88" s="269">
        <v>387</v>
      </c>
      <c r="S88" s="184">
        <f>Donations!C93</f>
        <v>0</v>
      </c>
      <c r="T88" s="279">
        <f t="shared" si="109"/>
        <v>0</v>
      </c>
      <c r="U88" s="10">
        <f t="shared" si="110"/>
        <v>-387</v>
      </c>
      <c r="V88" s="252" cm="1">
        <f t="array" ref="V88">_xlfn.IFS(T88&gt;=120%,11,T88&gt;=110.5%,10,T88&gt;=100.5%,9,T88&gt;99.9%,8,T88&gt;=85.5%,7,T88&gt;=72.5%,6,T88&gt;=65.5%,5,T88&gt;=55.5%,4,T88&gt;=45.5%,3,T88&gt;=35.5%,2,T88&gt;=20.5%,1,TRUE,0)</f>
        <v>0</v>
      </c>
      <c r="W88" s="269">
        <f t="shared" si="111"/>
        <v>19.349999999999998</v>
      </c>
      <c r="X88" s="184">
        <f>Donations!D93</f>
        <v>35</v>
      </c>
      <c r="Y88" s="269">
        <f t="shared" si="112"/>
        <v>0.27131782945736432</v>
      </c>
      <c r="Z88" s="252" cm="1">
        <f t="array" ref="Z88">_xlfn.IFS(Y88&gt;=0.26,11,Y88&gt;=0.21,10,Y88&gt;=0.16,9,Y88=0.15,8,Y88=0.14,7,Y88=0.13,6,Y88&gt;=0.11,5,Y88&gt;=0.09,4,Y88&gt;=0.07,3,Y88&gt;=0.04,2,Y88&gt;=0.01,1,TRUE,0)</f>
        <v>11</v>
      </c>
      <c r="AA88" s="294" t="str">
        <f>'Active &amp; Renewals'!F3</f>
        <v>SUPERIOR</v>
      </c>
      <c r="AB88" s="281" cm="1">
        <f t="array" ref="AB88">_xlfn.IFS(AA88="SUPERIOR",11,AA88="EXCELLENT",9,AA88="GOOD",7,AA88="LATE",5,AA88="NO GRADE",3,AA88="NA",2,AA88="NO REPORT",0)</f>
        <v>11</v>
      </c>
      <c r="AC88" s="294" t="str">
        <f>'Active &amp; Renewals'!H3</f>
        <v>EXCELLENT</v>
      </c>
      <c r="AD88" s="281" cm="1">
        <f t="array" ref="AD88">_xlfn.IFS(AC88="SUPERIOR",11,AC88="EXCELLENT",9,AC88="GOOD",7,AC88="LATE",5,AC88="NO GRADE",3,AC88="NA",2,AC88="NO REPORT",0)</f>
        <v>9</v>
      </c>
      <c r="AE88" s="284" t="str">
        <f>'Active &amp; Renewals'!J3</f>
        <v>NO REPORT</v>
      </c>
      <c r="AF88" s="281" cm="1">
        <f t="array" ref="AF88">_xlfn.IFS(AE88="SUPERIOR",11,AE88="EXCELLENT",9,AE88="GOOD",7,AE88="LATE",5,AE88="NO GRADE",3,AE88="NA",2,AE88="NO REPORT",0)</f>
        <v>0</v>
      </c>
      <c r="AG88" s="284" t="str">
        <f>'Active &amp; Renewals'!L3</f>
        <v>NO REPORT</v>
      </c>
      <c r="AH88" s="281" cm="1">
        <f t="array" ref="AH88">_xlfn.IFS(AG88="SUPERIOR",11,AG88="EXCELLENT",9,AG88="GOOD",7,AG88="LATE",5,AG88="NO GRADE",3,AG88="NA",2,AG88="NO REPORT",0)</f>
        <v>0</v>
      </c>
      <c r="AI88" s="252">
        <f t="shared" si="113"/>
        <v>20</v>
      </c>
      <c r="AJ88" s="188" t="s">
        <v>653</v>
      </c>
      <c r="AK88" s="252" cm="1">
        <f t="array" ref="AK88">_xlfn.IFS(AJ88="8/8",11,AJ88="7/8",7,AJ88="6/8",6,AJ88="5/8",5,AJ88="4/8",4,AJ88="3/8",3,AJ88="2/8",2,AJ88="1/8",1,AJ88="0/8",0,TRUE,0)</f>
        <v>6</v>
      </c>
      <c r="AL88" s="189">
        <v>2</v>
      </c>
      <c r="AM88" s="300" cm="1">
        <f t="array" ref="AM88">_xlfn.IFS(AL88&gt;6,11,AL88&gt;=4,10,AL88&gt;=2,9,AL88=1,8,TRUE,0)</f>
        <v>9</v>
      </c>
      <c r="AN88" s="184">
        <f>Donations!E93</f>
        <v>126</v>
      </c>
      <c r="AO88" s="300" cm="1">
        <f t="array" ref="AO88">_xlfn.IFS(AN88&gt;125,11,AN88&gt;=116,10,AN88&gt;=101,9,AN88=100,8,AN88&gt;=86,7,AN88&gt;=71,6,AN88&gt;=61,5,AN88&gt;=51,4,AN88&gt;=41,3,AN88&gt;=26,2,AN88&gt;=1,1,TRUE,0)</f>
        <v>11</v>
      </c>
      <c r="AP88" s="184">
        <f>Donations!F93</f>
        <v>601</v>
      </c>
      <c r="AQ88" s="300" cm="1">
        <f t="array" ref="AQ88">_xlfn.IFS(AP88&gt;600,11,AP88&gt;=551,10,AP88&gt;=501,9,AP88=500,8,AP88&gt;=326,7,AP88&gt;=251,6,AP88&gt;=201,5,AP88&gt;=151,4,AP88&gt;=101,3,AP88&gt;=76,2,AP88&gt;=1,1,TRUE,0)</f>
        <v>11</v>
      </c>
      <c r="AR88" s="350"/>
      <c r="AS88" s="350"/>
      <c r="AT88" s="350"/>
      <c r="AU88" s="353"/>
      <c r="AV88" s="191">
        <v>5</v>
      </c>
      <c r="AW88" s="187">
        <v>6</v>
      </c>
      <c r="AX88" s="187">
        <v>6</v>
      </c>
      <c r="AY88" s="252">
        <f t="shared" si="115"/>
        <v>17</v>
      </c>
      <c r="AZ88" s="192"/>
      <c r="BA88" s="181"/>
      <c r="BB88" s="193">
        <v>85</v>
      </c>
      <c r="BC88" s="252" cm="1">
        <f t="array" ref="BC88">_xlfn.IFS(BB88=0,11,TRUE,0)</f>
        <v>0</v>
      </c>
      <c r="BD88" s="183">
        <v>4</v>
      </c>
      <c r="BE88" s="183">
        <v>2</v>
      </c>
      <c r="BF88" s="183">
        <v>4</v>
      </c>
      <c r="BG88" s="252">
        <f t="shared" si="116"/>
        <v>10</v>
      </c>
      <c r="BH88" s="183">
        <v>3</v>
      </c>
      <c r="BI88" s="183">
        <v>3</v>
      </c>
      <c r="BJ88" s="183">
        <v>3</v>
      </c>
      <c r="BK88" s="252">
        <f t="shared" si="117"/>
        <v>9</v>
      </c>
    </row>
    <row r="89" spans="1:63" ht="15.75" x14ac:dyDescent="0.25">
      <c r="A89" s="180" t="s">
        <v>45</v>
      </c>
      <c r="B89" s="252">
        <f t="shared" si="104"/>
        <v>76</v>
      </c>
      <c r="C89" s="253">
        <f t="shared" si="118"/>
        <v>9</v>
      </c>
      <c r="D89" s="260">
        <f>'Lodge Rank by District'!E65</f>
        <v>96</v>
      </c>
      <c r="E89" s="9" t="str">
        <f>'Active &amp; Renewals'!C4</f>
        <v>206</v>
      </c>
      <c r="F89" s="9" t="str">
        <f>'Active &amp; Renewals'!D4</f>
        <v>221</v>
      </c>
      <c r="G89" s="2">
        <f t="shared" si="105"/>
        <v>15</v>
      </c>
      <c r="H89" s="252" cm="1">
        <f t="array" ref="H89">_xlfn.IFS(G89&gt;20,11,G89&gt;11,10,G89&gt;2,9,G89&gt;0,8,G89&gt;-6,7,G89&gt;-11,6,G89&gt;-16,5,G89&gt;-21,4,G89&gt;-26,3,G89&gt;-31,2,G89&gt;-36,1,TRUE,0)</f>
        <v>10</v>
      </c>
      <c r="I89" s="113" t="str">
        <f>'Active &amp; Renewals'!E4</f>
        <v>92.23</v>
      </c>
      <c r="J89" s="252" cm="1">
        <f t="array" ref="J89">_xlfn.IFS(VALUE(I89)&gt;=90.5,11,VALUE(I89)&gt;=85.5,10,VALUE(I89)&gt;=80.5,9,VALUE(I89)&gt;=75.5,8,VALUE(I89)&gt;=74.5,7,VALUE(I89)&gt;=70.5,6,VALUE(I89)&gt;=64.5,5,VALUE(I89)&gt;=60.5,4,VALUE(I89)&gt;=54.5,3,VALUE(I89)&gt;=50.5,2,VALUE(I89)&gt;=44.5,1,TRUE,0)</f>
        <v>11</v>
      </c>
      <c r="K89" s="195">
        <v>717</v>
      </c>
      <c r="L89" s="195">
        <f>Donations!B101</f>
        <v>557</v>
      </c>
      <c r="M89" s="267">
        <f t="shared" si="106"/>
        <v>-160</v>
      </c>
      <c r="N89" s="268">
        <f t="shared" si="107"/>
        <v>0.77684797768479774</v>
      </c>
      <c r="O89" s="252" cm="1">
        <f t="array" ref="O89">_xlfn.IFS(N89&gt;=115.5%,11,N89&gt;=110.5%,10,N89&gt;=100.5%,9,N89&gt;=99.5%,8,N89&gt;=89.5%,7,N89&gt;=75.5%,6,N89&gt;=60.5%,5,N89&gt;=45.5%,4,N89&gt;=30.5%,3,N89&gt;=15.5%,2,N89&gt;=0.5%,1,TRUE,0)</f>
        <v>6</v>
      </c>
      <c r="P89" s="12">
        <f t="shared" si="108"/>
        <v>2.703883495145631</v>
      </c>
      <c r="Q89" s="252" cm="1">
        <f t="array" ref="Q89">_xlfn.IFS(P89&gt;10,11,P89&gt;=8.01,10,P89&gt;=6.01,9,P89&gt;=4.01,8,P89=4,7,P89&gt;=3.01,6,P89&gt;=2.01,5,P89&gt;=1.51,4,P89&gt;=1.01,3,P89&gt;=0.51,2,P89&gt;=0.01,1,TRUE,0)</f>
        <v>5</v>
      </c>
      <c r="R89" s="269">
        <v>618</v>
      </c>
      <c r="S89" s="184">
        <f>Donations!C101</f>
        <v>0</v>
      </c>
      <c r="T89" s="279">
        <f t="shared" si="109"/>
        <v>0</v>
      </c>
      <c r="U89" s="10">
        <f t="shared" si="110"/>
        <v>-618</v>
      </c>
      <c r="V89" s="252" cm="1">
        <f t="array" ref="V89">_xlfn.IFS(T89&gt;=120%,11,T89&gt;=110.5%,10,T89&gt;=100.5%,9,T89&gt;99.9%,8,T89&gt;=85.5%,7,T89&gt;=72.5%,6,T89&gt;=65.5%,5,T89&gt;=55.5%,4,T89&gt;=45.5%,3,T89&gt;=35.5%,2,T89&gt;=20.5%,1,TRUE,0)</f>
        <v>0</v>
      </c>
      <c r="W89" s="269">
        <f t="shared" si="111"/>
        <v>30.9</v>
      </c>
      <c r="X89" s="184">
        <f>Donations!D101</f>
        <v>0</v>
      </c>
      <c r="Y89" s="269">
        <f t="shared" si="112"/>
        <v>0</v>
      </c>
      <c r="Z89" s="252" cm="1">
        <f t="array" ref="Z89">_xlfn.IFS(Y89&gt;=0.26,11,Y89&gt;=0.21,10,Y89&gt;=0.16,9,Y89=0.15,8,Y89=0.14,7,Y89=0.13,6,Y89&gt;=0.11,5,Y89&gt;=0.09,4,Y89&gt;=0.07,3,Y89&gt;=0.04,2,Y89&gt;=0.01,1,TRUE,0)</f>
        <v>0</v>
      </c>
      <c r="AA89" s="294" t="str">
        <f>'Active &amp; Renewals'!F4</f>
        <v>EXCELLENT</v>
      </c>
      <c r="AB89" s="281" cm="1">
        <f t="array" ref="AB89">_xlfn.IFS(AA89="SUPERIOR",11,AA89="EXCELLENT",9,AA89="GOOD",7,AA89="LATE",5,AA89="NO GRADE",3,AA89="NA",2,AA89="NO REPORT",0)</f>
        <v>9</v>
      </c>
      <c r="AC89" s="294" t="str">
        <f>'Active &amp; Renewals'!H4</f>
        <v>GOOD</v>
      </c>
      <c r="AD89" s="281" cm="1">
        <f t="array" ref="AD89">_xlfn.IFS(AC89="SUPERIOR",11,AC89="EXCELLENT",9,AC89="GOOD",7,AC89="LATE",5,AC89="NO GRADE",3,AC89="NA",2,AC89="NO REPORT",0)</f>
        <v>7</v>
      </c>
      <c r="AE89" s="284" t="str">
        <f>'Active &amp; Renewals'!J4</f>
        <v>NO REPORT</v>
      </c>
      <c r="AF89" s="281" cm="1">
        <f t="array" ref="AF89">_xlfn.IFS(AE89="SUPERIOR",11,AE89="EXCELLENT",9,AE89="GOOD",7,AE89="LATE",5,AE89="NO GRADE",3,AE89="NA",2,AE89="NO REPORT",0)</f>
        <v>0</v>
      </c>
      <c r="AG89" s="284" t="str">
        <f>'Active &amp; Renewals'!L4</f>
        <v>NO REPORT</v>
      </c>
      <c r="AH89" s="281" cm="1">
        <f t="array" ref="AH89">_xlfn.IFS(AG89="SUPERIOR",11,AG89="EXCELLENT",9,AG89="GOOD",7,AG89="LATE",5,AG89="NO GRADE",3,AG89="NA",2,AG89="NO REPORT",0)</f>
        <v>0</v>
      </c>
      <c r="AI89" s="252">
        <f t="shared" si="113"/>
        <v>16</v>
      </c>
      <c r="AJ89" s="188" t="s">
        <v>664</v>
      </c>
      <c r="AK89" s="252" cm="1">
        <f t="array" ref="AK89">_xlfn.IFS(AJ89="8/8",11,AJ89="7/8",7,AJ89="6/8",6,AJ89="5/8",5,AJ89="4/8",4,AJ89="3/8",3,AJ89="2/8",2,AJ89="1/8",1,AJ89="0/8",0,TRUE,0)</f>
        <v>0</v>
      </c>
      <c r="AL89" s="189">
        <v>1</v>
      </c>
      <c r="AM89" s="300" cm="1">
        <f t="array" ref="AM89">_xlfn.IFS(AL89&gt;6,11,AL89&gt;=4,10,AL89&gt;=2,9,AL89=1,8,TRUE,0)</f>
        <v>8</v>
      </c>
      <c r="AN89" s="184">
        <f>Donations!E101</f>
        <v>0</v>
      </c>
      <c r="AO89" s="300" cm="1">
        <f t="array" ref="AO89">_xlfn.IFS(AN89&gt;125,11,AN89&gt;=116,10,AN89&gt;=101,9,AN89=100,8,AN89&gt;=86,7,AN89&gt;=71,6,AN89&gt;=61,5,AN89&gt;=51,4,AN89&gt;=41,3,AN89&gt;=26,2,AN89&gt;=1,1,TRUE,0)</f>
        <v>0</v>
      </c>
      <c r="AP89" s="184">
        <f>Donations!F101</f>
        <v>0</v>
      </c>
      <c r="AQ89" s="300" cm="1">
        <f t="array" ref="AQ89">_xlfn.IFS(AP89&gt;600,11,AP89&gt;=551,10,AP89&gt;=501,9,AP89=500,8,AP89&gt;=326,7,AP89&gt;=251,6,AP89&gt;=201,5,AP89&gt;=151,4,AP89&gt;=101,3,AP89&gt;=76,2,AP89&gt;=1,1,TRUE,0)</f>
        <v>0</v>
      </c>
      <c r="AR89" s="350"/>
      <c r="AS89" s="350"/>
      <c r="AT89" s="350"/>
      <c r="AU89" s="353"/>
      <c r="AV89" s="191">
        <v>0</v>
      </c>
      <c r="AW89" s="187">
        <v>4</v>
      </c>
      <c r="AX89" s="187">
        <v>3</v>
      </c>
      <c r="AY89" s="252">
        <f t="shared" si="115"/>
        <v>7</v>
      </c>
      <c r="AZ89" s="192"/>
      <c r="BA89" s="181"/>
      <c r="BB89" s="193">
        <v>0</v>
      </c>
      <c r="BC89" s="252" cm="1">
        <f t="array" ref="BC89">_xlfn.IFS(BB89=0,11,TRUE,0)</f>
        <v>11</v>
      </c>
      <c r="BD89" s="183">
        <v>0</v>
      </c>
      <c r="BE89" s="183">
        <v>0</v>
      </c>
      <c r="BF89" s="183">
        <v>1</v>
      </c>
      <c r="BG89" s="252">
        <f t="shared" si="116"/>
        <v>1</v>
      </c>
      <c r="BH89" s="183">
        <v>0</v>
      </c>
      <c r="BI89" s="183">
        <v>0</v>
      </c>
      <c r="BJ89" s="183">
        <v>1</v>
      </c>
      <c r="BK89" s="252">
        <f t="shared" si="117"/>
        <v>1</v>
      </c>
    </row>
    <row r="90" spans="1:63" ht="15.75" x14ac:dyDescent="0.25">
      <c r="A90" s="180" t="s">
        <v>44</v>
      </c>
      <c r="B90" s="252">
        <f t="shared" si="104"/>
        <v>157</v>
      </c>
      <c r="C90" s="253">
        <f t="shared" si="118"/>
        <v>1</v>
      </c>
      <c r="D90" s="260">
        <f>'Lodge Rank by District'!E66</f>
        <v>14</v>
      </c>
      <c r="E90" s="9" t="str">
        <f>'Active &amp; Renewals'!C31</f>
        <v>296</v>
      </c>
      <c r="F90" s="9" t="str">
        <f>'Active &amp; Renewals'!D31</f>
        <v>320</v>
      </c>
      <c r="G90" s="2">
        <f t="shared" si="105"/>
        <v>24</v>
      </c>
      <c r="H90" s="252" cm="1">
        <f t="array" ref="H90">_xlfn.IFS(G90&gt;20,11,G90&gt;11,10,G90&gt;2,9,G90&gt;0,8,G90&gt;-6,7,G90&gt;-11,6,G90&gt;-16,5,G90&gt;-21,4,G90&gt;-26,3,G90&gt;-31,2,G90&gt;-36,1,TRUE,0)</f>
        <v>11</v>
      </c>
      <c r="I90" s="113" t="str">
        <f>'Active &amp; Renewals'!E31</f>
        <v>87.71</v>
      </c>
      <c r="J90" s="252" cm="1">
        <f t="array" ref="J90">_xlfn.IFS(VALUE(I90)&gt;=90.5,11,VALUE(I90)&gt;=85.5,10,VALUE(I90)&gt;=80.5,9,VALUE(I90)&gt;=75.5,8,VALUE(I90)&gt;=74.5,7,VALUE(I90)&gt;=70.5,6,VALUE(I90)&gt;=64.5,5,VALUE(I90)&gt;=60.5,4,VALUE(I90)&gt;=54.5,3,VALUE(I90)&gt;=50.5,2,VALUE(I90)&gt;=44.5,1,TRUE,0)</f>
        <v>10</v>
      </c>
      <c r="K90" s="195">
        <v>754</v>
      </c>
      <c r="L90" s="195">
        <f>Donations!B34</f>
        <v>1282</v>
      </c>
      <c r="M90" s="267">
        <f t="shared" si="106"/>
        <v>528</v>
      </c>
      <c r="N90" s="268">
        <f t="shared" si="107"/>
        <v>1.7002652519893899</v>
      </c>
      <c r="O90" s="252" cm="1">
        <f t="array" ref="O90">_xlfn.IFS(N90&gt;=115.5%,11,N90&gt;=110.5%,10,N90&gt;=100.5%,9,N90&gt;=99.5%,8,N90&gt;=89.5%,7,N90&gt;=75.5%,6,N90&gt;=60.5%,5,N90&gt;=45.5%,4,N90&gt;=30.5%,3,N90&gt;=15.5%,2,N90&gt;=0.5%,1,TRUE,0)</f>
        <v>11</v>
      </c>
      <c r="P90" s="12">
        <f t="shared" si="108"/>
        <v>4.3310810810810807</v>
      </c>
      <c r="Q90" s="252" cm="1">
        <f t="array" ref="Q90">_xlfn.IFS(P90&gt;10,11,P90&gt;=8.01,10,P90&gt;=6.01,9,P90&gt;=4.01,8,P90=4,7,P90&gt;=3.01,6,P90&gt;=2.01,5,P90&gt;=1.51,4,P90&gt;=1.01,3,P90&gt;=0.51,2,P90&gt;=0.01,1,TRUE,0)</f>
        <v>8</v>
      </c>
      <c r="R90" s="269">
        <v>888</v>
      </c>
      <c r="S90" s="184">
        <f>Donations!C34</f>
        <v>296</v>
      </c>
      <c r="T90" s="279">
        <f t="shared" si="109"/>
        <v>1</v>
      </c>
      <c r="U90" s="10">
        <f t="shared" si="110"/>
        <v>-592</v>
      </c>
      <c r="V90" s="252" cm="1">
        <f t="array" ref="V90">_xlfn.IFS(T90&gt;=120%,11,T90&gt;=110.5%,10,T90&gt;=100.5%,9,T90&gt;99.9%,8,T90&gt;=85.5%,7,T90&gt;=72.5%,6,T90&gt;=65.5%,5,T90&gt;=55.5%,4,T90&gt;=45.5%,3,T90&gt;=35.5%,2,T90&gt;=20.5%,1,TRUE,0)</f>
        <v>8</v>
      </c>
      <c r="W90" s="269">
        <f t="shared" si="111"/>
        <v>44.4</v>
      </c>
      <c r="X90" s="184">
        <f>Donations!D34</f>
        <v>50</v>
      </c>
      <c r="Y90" s="269">
        <f t="shared" si="112"/>
        <v>0.16891891891891891</v>
      </c>
      <c r="Z90" s="252" cm="1">
        <f t="array" ref="Z90">_xlfn.IFS(Y90&gt;=0.26,11,Y90&gt;=0.21,10,Y90&gt;=0.16,9,Y90=0.15,8,Y90=0.14,7,Y90=0.13,6,Y90&gt;=0.11,5,Y90&gt;=0.09,4,Y90&gt;=0.07,3,Y90&gt;=0.04,2,Y90&gt;=0.01,1,TRUE,0)</f>
        <v>9</v>
      </c>
      <c r="AA90" s="294" t="str">
        <f>'Active &amp; Renewals'!F31</f>
        <v>EXCELLENT</v>
      </c>
      <c r="AB90" s="281" cm="1">
        <f t="array" ref="AB90">_xlfn.IFS(AA90="SUPERIOR",11,AA90="EXCELLENT",9,AA90="GOOD",7,AA90="LATE",5,AA90="NO GRADE",3,AA90="NA",2,AA90="NO REPORT",0)</f>
        <v>9</v>
      </c>
      <c r="AC90" s="294" t="str">
        <f>'Active &amp; Renewals'!H31</f>
        <v>SUPERIOR</v>
      </c>
      <c r="AD90" s="281" cm="1">
        <f t="array" ref="AD90">_xlfn.IFS(AC90="SUPERIOR",11,AC90="EXCELLENT",9,AC90="GOOD",7,AC90="LATE",5,AC90="NO GRADE",3,AC90="NA",2,AC90="NO REPORT",0)</f>
        <v>11</v>
      </c>
      <c r="AE90" s="284" t="str">
        <f>'Active &amp; Renewals'!J31</f>
        <v>NO REPORT</v>
      </c>
      <c r="AF90" s="281" cm="1">
        <f t="array" ref="AF90">_xlfn.IFS(AE90="SUPERIOR",11,AE90="EXCELLENT",9,AE90="GOOD",7,AE90="LATE",5,AE90="NO GRADE",3,AE90="NA",2,AE90="NO REPORT",0)</f>
        <v>0</v>
      </c>
      <c r="AG90" s="284" t="str">
        <f>'Active &amp; Renewals'!L31</f>
        <v>NO REPORT</v>
      </c>
      <c r="AH90" s="281" cm="1">
        <f t="array" ref="AH90">_xlfn.IFS(AG90="SUPERIOR",11,AG90="EXCELLENT",9,AG90="GOOD",7,AG90="LATE",5,AG90="NO GRADE",3,AG90="NA",2,AG90="NO REPORT",0)</f>
        <v>0</v>
      </c>
      <c r="AI90" s="252">
        <f t="shared" si="113"/>
        <v>20</v>
      </c>
      <c r="AJ90" s="188" t="s">
        <v>655</v>
      </c>
      <c r="AK90" s="252" cm="1">
        <f t="array" ref="AK90">_xlfn.IFS(AJ90="8/8",11,AJ90="7/8",7,AJ90="6/8",6,AJ90="5/8",5,AJ90="4/8",4,AJ90="3/8",3,AJ90="2/8",2,AJ90="1/8",1,AJ90="0/8",0,TRUE,0)</f>
        <v>11</v>
      </c>
      <c r="AL90" s="189">
        <v>1</v>
      </c>
      <c r="AM90" s="300" cm="1">
        <f t="array" ref="AM90">_xlfn.IFS(AL90&gt;6,11,AL90&gt;=4,10,AL90&gt;=2,9,AL90=1,8,TRUE,0)</f>
        <v>8</v>
      </c>
      <c r="AN90" s="184">
        <f>Donations!E34</f>
        <v>100</v>
      </c>
      <c r="AO90" s="300" cm="1">
        <f t="array" ref="AO90">_xlfn.IFS(AN90&gt;125,11,AN90&gt;=116,10,AN90&gt;=101,9,AN90=100,8,AN90&gt;=86,7,AN90&gt;=71,6,AN90&gt;=61,5,AN90&gt;=51,4,AN90&gt;=41,3,AN90&gt;=26,2,AN90&gt;=1,1,TRUE,0)</f>
        <v>8</v>
      </c>
      <c r="AP90" s="184">
        <f>Donations!F34</f>
        <v>50</v>
      </c>
      <c r="AQ90" s="300" cm="1">
        <f t="array" ref="AQ90">_xlfn.IFS(AP90&gt;600,11,AP90&gt;=551,10,AP90&gt;=501,9,AP90=500,8,AP90&gt;=326,7,AP90&gt;=251,6,AP90&gt;=201,5,AP90&gt;=151,4,AP90&gt;=101,3,AP90&gt;=76,2,AP90&gt;=1,1,TRUE,0)</f>
        <v>1</v>
      </c>
      <c r="AR90" s="350"/>
      <c r="AS90" s="350"/>
      <c r="AT90" s="350"/>
      <c r="AU90" s="353"/>
      <c r="AV90" s="191">
        <v>3</v>
      </c>
      <c r="AW90" s="187">
        <v>6</v>
      </c>
      <c r="AX90" s="187">
        <v>6</v>
      </c>
      <c r="AY90" s="252">
        <f t="shared" si="115"/>
        <v>15</v>
      </c>
      <c r="AZ90" s="192" t="s">
        <v>251</v>
      </c>
      <c r="BA90" s="181">
        <v>8</v>
      </c>
      <c r="BB90" s="193">
        <v>0</v>
      </c>
      <c r="BC90" s="252" cm="1">
        <f t="array" ref="BC90">_xlfn.IFS(BB90=0,11,TRUE,0)</f>
        <v>11</v>
      </c>
      <c r="BD90" s="183">
        <v>4</v>
      </c>
      <c r="BE90" s="183">
        <v>4</v>
      </c>
      <c r="BF90" s="183">
        <v>4</v>
      </c>
      <c r="BG90" s="252">
        <f t="shared" si="116"/>
        <v>12</v>
      </c>
      <c r="BH90" s="183">
        <v>0</v>
      </c>
      <c r="BI90" s="183">
        <v>3</v>
      </c>
      <c r="BJ90" s="183">
        <v>3</v>
      </c>
      <c r="BK90" s="252">
        <f t="shared" si="117"/>
        <v>6</v>
      </c>
    </row>
    <row r="91" spans="1:63" ht="15.75" x14ac:dyDescent="0.25">
      <c r="A91" s="180" t="s">
        <v>371</v>
      </c>
      <c r="B91" s="252">
        <f t="shared" si="104"/>
        <v>145</v>
      </c>
      <c r="C91" s="253">
        <f t="shared" si="118"/>
        <v>2</v>
      </c>
      <c r="D91" s="260">
        <f>'Lodge Rank by District'!E67</f>
        <v>26</v>
      </c>
      <c r="E91" s="9" t="str">
        <f>'Active &amp; Renewals'!C35</f>
        <v>222</v>
      </c>
      <c r="F91" s="9" t="str">
        <f>'Active &amp; Renewals'!D35</f>
        <v>246</v>
      </c>
      <c r="G91" s="2">
        <f t="shared" si="105"/>
        <v>24</v>
      </c>
      <c r="H91" s="252" cm="1">
        <f t="array" ref="H91">_xlfn.IFS(G91&gt;20,11,G91&gt;11,10,G91&gt;2,9,G91&gt;0,8,G91&gt;-6,7,G91&gt;-11,6,G91&gt;-16,5,G91&gt;-21,4,G91&gt;-26,3,G91&gt;-31,2,G91&gt;-36,1,TRUE,0)</f>
        <v>11</v>
      </c>
      <c r="I91" s="113" t="str">
        <f>'Active &amp; Renewals'!E35</f>
        <v>83.78</v>
      </c>
      <c r="J91" s="252" cm="1">
        <f t="array" ref="J91">_xlfn.IFS(VALUE(I91)&gt;=90.5,11,VALUE(I91)&gt;=85.5,10,VALUE(I91)&gt;=80.5,9,VALUE(I91)&gt;=75.5,8,VALUE(I91)&gt;=74.5,7,VALUE(I91)&gt;=70.5,6,VALUE(I91)&gt;=64.5,5,VALUE(I91)&gt;=60.5,4,VALUE(I91)&gt;=54.5,3,VALUE(I91)&gt;=50.5,2,VALUE(I91)&gt;=44.5,1,TRUE,0)</f>
        <v>9</v>
      </c>
      <c r="K91" s="195">
        <v>892</v>
      </c>
      <c r="L91" s="195">
        <f>Donations!B79</f>
        <v>680</v>
      </c>
      <c r="M91" s="267">
        <f t="shared" si="106"/>
        <v>-212</v>
      </c>
      <c r="N91" s="268">
        <f t="shared" si="107"/>
        <v>0.7623318385650224</v>
      </c>
      <c r="O91" s="252" cm="1">
        <f t="array" ref="O91">_xlfn.IFS(N91&gt;=115.5%,11,N91&gt;=110.5%,10,N91&gt;=100.5%,9,N91&gt;=99.5%,8,N91&gt;=89.5%,7,N91&gt;=75.5%,6,N91&gt;=60.5%,5,N91&gt;=45.5%,4,N91&gt;=30.5%,3,N91&gt;=15.5%,2,N91&gt;=0.5%,1,TRUE,0)</f>
        <v>6</v>
      </c>
      <c r="P91" s="12">
        <f t="shared" si="108"/>
        <v>3.0630630630630629</v>
      </c>
      <c r="Q91" s="252" cm="1">
        <f t="array" ref="Q91">_xlfn.IFS(P91&gt;10,11,P91&gt;=8.01,10,P91&gt;=6.01,9,P91&gt;=4.01,8,P91=4,7,P91&gt;=3.01,6,P91&gt;=2.01,5,P91&gt;=1.51,4,P91&gt;=1.01,3,P91&gt;=0.51,2,P91&gt;=0.01,1,TRUE,0)</f>
        <v>6</v>
      </c>
      <c r="R91" s="269">
        <v>666</v>
      </c>
      <c r="S91" s="184">
        <f>Donations!C79</f>
        <v>444</v>
      </c>
      <c r="T91" s="279">
        <f t="shared" si="109"/>
        <v>2</v>
      </c>
      <c r="U91" s="10">
        <f t="shared" si="110"/>
        <v>-222</v>
      </c>
      <c r="V91" s="252" cm="1">
        <f t="array" ref="V91">_xlfn.IFS(T91&gt;=120%,11,T91&gt;=110.5%,10,T91&gt;=100.5%,9,T91&gt;99.9%,8,T91&gt;=85.5%,7,T91&gt;=72.5%,6,T91&gt;=65.5%,5,T91&gt;=55.5%,4,T91&gt;=45.5%,3,T91&gt;=35.5%,2,T91&gt;=20.5%,1,TRUE,0)</f>
        <v>11</v>
      </c>
      <c r="W91" s="269">
        <f t="shared" si="111"/>
        <v>33.299999999999997</v>
      </c>
      <c r="X91" s="184">
        <f>Donations!D79</f>
        <v>275</v>
      </c>
      <c r="Y91" s="269">
        <f t="shared" si="112"/>
        <v>1.2387387387387387</v>
      </c>
      <c r="Z91" s="252" cm="1">
        <f t="array" ref="Z91">_xlfn.IFS(Y91&gt;=0.26,11,Y91&gt;=0.21,10,Y91&gt;=0.16,9,Y91=0.15,8,Y91=0.14,7,Y91=0.13,6,Y91&gt;=0.11,5,Y91&gt;=0.09,4,Y91&gt;=0.07,3,Y91&gt;=0.04,2,Y91&gt;=0.01,1,TRUE,0)</f>
        <v>11</v>
      </c>
      <c r="AA91" s="294" t="str">
        <f>'Active &amp; Renewals'!F35</f>
        <v>SUPERIOR</v>
      </c>
      <c r="AB91" s="281" cm="1">
        <f t="array" ref="AB91">_xlfn.IFS(AA91="SUPERIOR",11,AA91="EXCELLENT",9,AA91="GOOD",7,AA91="LATE",5,AA91="NO GRADE",3,AA91="NA",2,AA91="NO REPORT",0)</f>
        <v>11</v>
      </c>
      <c r="AC91" s="294" t="str">
        <f>'Active &amp; Renewals'!H35</f>
        <v>SUPERIOR</v>
      </c>
      <c r="AD91" s="281" cm="1">
        <f t="array" ref="AD91">_xlfn.IFS(AC91="SUPERIOR",11,AC91="EXCELLENT",9,AC91="GOOD",7,AC91="LATE",5,AC91="NO GRADE",3,AC91="NA",2,AC91="NO REPORT",0)</f>
        <v>11</v>
      </c>
      <c r="AE91" s="284" t="str">
        <f>'Active &amp; Renewals'!J35</f>
        <v>NO REPORT</v>
      </c>
      <c r="AF91" s="281" cm="1">
        <f t="array" ref="AF91">_xlfn.IFS(AE91="SUPERIOR",11,AE91="EXCELLENT",9,AE91="GOOD",7,AE91="LATE",5,AE91="NO GRADE",3,AE91="NA",2,AE91="NO REPORT",0)</f>
        <v>0</v>
      </c>
      <c r="AG91" s="284" t="str">
        <f>'Active &amp; Renewals'!L35</f>
        <v>NO REPORT</v>
      </c>
      <c r="AH91" s="281" cm="1">
        <f t="array" ref="AH91">_xlfn.IFS(AG91="SUPERIOR",11,AG91="EXCELLENT",9,AG91="GOOD",7,AG91="LATE",5,AG91="NO GRADE",3,AG91="NA",2,AG91="NO REPORT",0)</f>
        <v>0</v>
      </c>
      <c r="AI91" s="252">
        <f t="shared" si="113"/>
        <v>22</v>
      </c>
      <c r="AJ91" s="188" t="s">
        <v>655</v>
      </c>
      <c r="AK91" s="252" cm="1">
        <f t="array" ref="AK91">_xlfn.IFS(AJ91="8/8",11,AJ91="7/8",7,AJ91="6/8",6,AJ91="5/8",5,AJ91="4/8",4,AJ91="3/8",3,AJ91="2/8",2,AJ91="1/8",1,AJ91="0/8",0,TRUE,0)</f>
        <v>11</v>
      </c>
      <c r="AL91" s="189">
        <v>1</v>
      </c>
      <c r="AM91" s="300" cm="1">
        <f t="array" ref="AM91">_xlfn.IFS(AL91&gt;6,11,AL91&gt;=4,10,AL91&gt;=2,9,AL91=1,8,TRUE,0)</f>
        <v>8</v>
      </c>
      <c r="AN91" s="184">
        <f>Donations!E79</f>
        <v>100</v>
      </c>
      <c r="AO91" s="300" cm="1">
        <f t="array" ref="AO91">_xlfn.IFS(AN91&gt;125,11,AN91&gt;=116,10,AN91&gt;=101,9,AN91=100,8,AN91&gt;=86,7,AN91&gt;=71,6,AN91&gt;=61,5,AN91&gt;=51,4,AN91&gt;=41,3,AN91&gt;=26,2,AN91&gt;=1,1,TRUE,0)</f>
        <v>8</v>
      </c>
      <c r="AP91" s="184">
        <f>Donations!F79</f>
        <v>150</v>
      </c>
      <c r="AQ91" s="300" cm="1">
        <f t="array" ref="AQ91">_xlfn.IFS(AP91&gt;600,11,AP91&gt;=551,10,AP91&gt;=501,9,AP91=500,8,AP91&gt;=326,7,AP91&gt;=251,6,AP91&gt;=201,5,AP91&gt;=151,4,AP91&gt;=101,3,AP91&gt;=76,2,AP91&gt;=1,1,TRUE,0)</f>
        <v>3</v>
      </c>
      <c r="AR91" s="350"/>
      <c r="AS91" s="350"/>
      <c r="AT91" s="350"/>
      <c r="AU91" s="353"/>
      <c r="AV91" s="191">
        <v>1</v>
      </c>
      <c r="AW91" s="187">
        <v>5</v>
      </c>
      <c r="AX91" s="187">
        <v>3</v>
      </c>
      <c r="AY91" s="252">
        <f t="shared" si="115"/>
        <v>9</v>
      </c>
      <c r="AZ91" s="192"/>
      <c r="BA91" s="181"/>
      <c r="BB91" s="193">
        <v>0</v>
      </c>
      <c r="BC91" s="252" cm="1">
        <f t="array" ref="BC91">_xlfn.IFS(BB91=0,11,TRUE,0)</f>
        <v>11</v>
      </c>
      <c r="BD91" s="183">
        <v>4</v>
      </c>
      <c r="BE91" s="183">
        <v>4</v>
      </c>
      <c r="BF91" s="183">
        <v>2</v>
      </c>
      <c r="BG91" s="252">
        <f t="shared" si="116"/>
        <v>10</v>
      </c>
      <c r="BH91" s="183">
        <v>3</v>
      </c>
      <c r="BI91" s="183">
        <v>3</v>
      </c>
      <c r="BJ91" s="183">
        <v>3</v>
      </c>
      <c r="BK91" s="252">
        <f t="shared" si="117"/>
        <v>9</v>
      </c>
    </row>
    <row r="92" spans="1:63" ht="15.75" x14ac:dyDescent="0.25">
      <c r="A92" s="180" t="s">
        <v>42</v>
      </c>
      <c r="B92" s="252">
        <f t="shared" si="104"/>
        <v>115</v>
      </c>
      <c r="C92" s="253">
        <f t="shared" si="118"/>
        <v>7</v>
      </c>
      <c r="D92" s="260">
        <f>'Lodge Rank by District'!E68</f>
        <v>70</v>
      </c>
      <c r="E92" s="9" t="str">
        <f>'Active &amp; Renewals'!C38</f>
        <v>328</v>
      </c>
      <c r="F92" s="9" t="str">
        <f>'Active &amp; Renewals'!D38</f>
        <v>385</v>
      </c>
      <c r="G92" s="2">
        <f t="shared" si="105"/>
        <v>57</v>
      </c>
      <c r="H92" s="252" cm="1">
        <f t="array" ref="H92">_xlfn.IFS(G92&gt;20,11,G92&gt;11,10,G92&gt;2,9,G92&gt;0,8,G92&gt;-6,7,G92&gt;-11,6,G92&gt;-16,5,G92&gt;-21,4,G92&gt;-26,3,G92&gt;-31,2,G92&gt;-36,1,TRUE,0)</f>
        <v>11</v>
      </c>
      <c r="I92" s="113" t="str">
        <f>'Active &amp; Renewals'!E38</f>
        <v>89.63</v>
      </c>
      <c r="J92" s="252" cm="1">
        <f t="array" ref="J92">_xlfn.IFS(VALUE(I92)&gt;=90.5,11,VALUE(I92)&gt;=85.5,10,VALUE(I92)&gt;=80.5,9,VALUE(I92)&gt;=75.5,8,VALUE(I92)&gt;=74.5,7,VALUE(I92)&gt;=70.5,6,VALUE(I92)&gt;=64.5,5,VALUE(I92)&gt;=60.5,4,VALUE(I92)&gt;=54.5,3,VALUE(I92)&gt;=50.5,2,VALUE(I92)&gt;=44.5,1,TRUE,0)</f>
        <v>10</v>
      </c>
      <c r="K92" s="195">
        <v>1237</v>
      </c>
      <c r="L92" s="195">
        <f>Donations!B7</f>
        <v>1170</v>
      </c>
      <c r="M92" s="267">
        <f t="shared" si="106"/>
        <v>-67</v>
      </c>
      <c r="N92" s="268">
        <f t="shared" si="107"/>
        <v>0.94583670169765566</v>
      </c>
      <c r="O92" s="252" cm="1">
        <f t="array" ref="O92">_xlfn.IFS(N92&gt;=115.5%,11,N92&gt;=110.5%,10,N92&gt;=100.5%,9,N92&gt;=99.5%,8,N92&gt;=89.5%,7,N92&gt;=75.5%,6,N92&gt;=60.5%,5,N92&gt;=45.5%,4,N92&gt;=30.5%,3,N92&gt;=15.5%,2,N92&gt;=0.5%,1,TRUE,0)</f>
        <v>7</v>
      </c>
      <c r="P92" s="12">
        <f t="shared" si="108"/>
        <v>3.5670731707317072</v>
      </c>
      <c r="Q92" s="252" cm="1">
        <f t="array" ref="Q92">_xlfn.IFS(P92&gt;10,11,P92&gt;=8.01,10,P92&gt;=6.01,9,P92&gt;=4.01,8,P92=4,7,P92&gt;=3.01,6,P92&gt;=2.01,5,P92&gt;=1.51,4,P92&gt;=1.01,3,P92&gt;=0.51,2,P92&gt;=0.01,1,TRUE,0)</f>
        <v>6</v>
      </c>
      <c r="R92" s="269">
        <v>984</v>
      </c>
      <c r="S92" s="184">
        <f>Donations!C7</f>
        <v>300</v>
      </c>
      <c r="T92" s="279">
        <f t="shared" si="109"/>
        <v>0.91463414634146345</v>
      </c>
      <c r="U92" s="10">
        <f t="shared" si="110"/>
        <v>-684</v>
      </c>
      <c r="V92" s="252" cm="1">
        <f t="array" ref="V92">_xlfn.IFS(T92&gt;=120%,11,T92&gt;=110.5%,10,T92&gt;=100.5%,9,T92&gt;99.9%,8,T92&gt;=85.5%,7,T92&gt;=72.5%,6,T92&gt;=65.5%,5,T92&gt;=55.5%,4,T92&gt;=45.5%,3,T92&gt;=35.5%,2,T92&gt;=20.5%,1,TRUE,0)</f>
        <v>7</v>
      </c>
      <c r="W92" s="269">
        <f t="shared" si="111"/>
        <v>49.199999999999996</v>
      </c>
      <c r="X92" s="184">
        <f>Donations!D7</f>
        <v>200</v>
      </c>
      <c r="Y92" s="269">
        <f t="shared" si="112"/>
        <v>0.6097560975609756</v>
      </c>
      <c r="Z92" s="252" cm="1">
        <f t="array" ref="Z92">_xlfn.IFS(Y92&gt;=0.26,11,Y92&gt;=0.21,10,Y92&gt;=0.16,9,Y92=0.15,8,Y92=0.14,7,Y92=0.13,6,Y92&gt;=0.11,5,Y92&gt;=0.09,4,Y92&gt;=0.07,3,Y92&gt;=0.04,2,Y92&gt;=0.01,1,TRUE,0)</f>
        <v>11</v>
      </c>
      <c r="AA92" s="294" t="str">
        <f>'Active &amp; Renewals'!F38</f>
        <v>EXCELLENT</v>
      </c>
      <c r="AB92" s="281" cm="1">
        <f t="array" ref="AB92">_xlfn.IFS(AA92="SUPERIOR",11,AA92="EXCELLENT",9,AA92="GOOD",7,AA92="LATE",5,AA92="NO GRADE",3,AA92="NA",2,AA92="NO REPORT",0)</f>
        <v>9</v>
      </c>
      <c r="AC92" s="294" t="str">
        <f>'Active &amp; Renewals'!H38</f>
        <v>SUPERIOR</v>
      </c>
      <c r="AD92" s="281" cm="1">
        <f t="array" ref="AD92">_xlfn.IFS(AC92="SUPERIOR",11,AC92="EXCELLENT",9,AC92="GOOD",7,AC92="LATE",5,AC92="NO GRADE",3,AC92="NA",2,AC92="NO REPORT",0)</f>
        <v>11</v>
      </c>
      <c r="AE92" s="284" t="str">
        <f>'Active &amp; Renewals'!J38</f>
        <v>NO REPORT</v>
      </c>
      <c r="AF92" s="281" cm="1">
        <f t="array" ref="AF92">_xlfn.IFS(AE92="SUPERIOR",11,AE92="EXCELLENT",9,AE92="GOOD",7,AE92="LATE",5,AE92="NO GRADE",3,AE92="NA",2,AE92="NO REPORT",0)</f>
        <v>0</v>
      </c>
      <c r="AG92" s="284" t="str">
        <f>'Active &amp; Renewals'!L38</f>
        <v>NO REPORT</v>
      </c>
      <c r="AH92" s="281" cm="1">
        <f t="array" ref="AH92">_xlfn.IFS(AG92="SUPERIOR",11,AG92="EXCELLENT",9,AG92="GOOD",7,AG92="LATE",5,AG92="NO GRADE",3,AG92="NA",2,AG92="NO REPORT",0)</f>
        <v>0</v>
      </c>
      <c r="AI92" s="252">
        <f t="shared" si="113"/>
        <v>20</v>
      </c>
      <c r="AJ92" s="188" t="s">
        <v>660</v>
      </c>
      <c r="AK92" s="252" cm="1">
        <f t="array" ref="AK92">_xlfn.IFS(AJ92="8/8",11,AJ92="7/8",7,AJ92="6/8",6,AJ92="5/8",5,AJ92="4/8",4,AJ92="3/8",3,AJ92="2/8",2,AJ92="1/8",1,AJ92="0/8",0,TRUE,0)</f>
        <v>5</v>
      </c>
      <c r="AL92" s="189">
        <v>0</v>
      </c>
      <c r="AM92" s="300" cm="1">
        <f t="array" ref="AM92">_xlfn.IFS(AL92&gt;6,11,AL92&gt;=4,10,AL92&gt;=2,9,AL92=1,8,TRUE,0)</f>
        <v>0</v>
      </c>
      <c r="AN92" s="184">
        <f>Donations!E7</f>
        <v>200</v>
      </c>
      <c r="AO92" s="300" cm="1">
        <f t="array" ref="AO92">_xlfn.IFS(AN92&gt;125,11,AN92&gt;=116,10,AN92&gt;=101,9,AN92=100,8,AN92&gt;=86,7,AN92&gt;=71,6,AN92&gt;=61,5,AN92&gt;=51,4,AN92&gt;=41,3,AN92&gt;=26,2,AN92&gt;=1,1,TRUE,0)</f>
        <v>11</v>
      </c>
      <c r="AP92" s="184">
        <f>Donations!F7</f>
        <v>50</v>
      </c>
      <c r="AQ92" s="300" cm="1">
        <f t="array" ref="AQ92">_xlfn.IFS(AP92&gt;600,11,AP92&gt;=551,10,AP92&gt;=501,9,AP92=500,8,AP92&gt;=326,7,AP92&gt;=251,6,AP92&gt;=201,5,AP92&gt;=151,4,AP92&gt;=101,3,AP92&gt;=76,2,AP92&gt;=1,1,TRUE,0)</f>
        <v>1</v>
      </c>
      <c r="AR92" s="350"/>
      <c r="AS92" s="350"/>
      <c r="AT92" s="350"/>
      <c r="AU92" s="353"/>
      <c r="AV92" s="191">
        <v>2</v>
      </c>
      <c r="AW92" s="187">
        <v>5</v>
      </c>
      <c r="AX92" s="187">
        <v>1</v>
      </c>
      <c r="AY92" s="252">
        <f t="shared" si="115"/>
        <v>8</v>
      </c>
      <c r="AZ92" s="192"/>
      <c r="BA92" s="181"/>
      <c r="BB92" s="193">
        <v>0</v>
      </c>
      <c r="BC92" s="252" cm="1">
        <f t="array" ref="BC92">_xlfn.IFS(BB92=0,11,TRUE,0)</f>
        <v>11</v>
      </c>
      <c r="BD92" s="183">
        <v>0</v>
      </c>
      <c r="BE92" s="183">
        <v>4</v>
      </c>
      <c r="BF92" s="183">
        <v>0</v>
      </c>
      <c r="BG92" s="252">
        <f t="shared" si="116"/>
        <v>4</v>
      </c>
      <c r="BH92" s="183">
        <v>0</v>
      </c>
      <c r="BI92" s="183">
        <v>3</v>
      </c>
      <c r="BJ92" s="183">
        <v>0</v>
      </c>
      <c r="BK92" s="252">
        <f t="shared" si="117"/>
        <v>3</v>
      </c>
    </row>
    <row r="93" spans="1:63" ht="15.75" x14ac:dyDescent="0.25">
      <c r="A93" s="180" t="s">
        <v>41</v>
      </c>
      <c r="B93" s="252">
        <f t="shared" si="104"/>
        <v>117</v>
      </c>
      <c r="C93" s="253">
        <f t="shared" si="118"/>
        <v>6</v>
      </c>
      <c r="D93" s="260">
        <f>'Lodge Rank by District'!E69</f>
        <v>68</v>
      </c>
      <c r="E93" s="9" t="str">
        <f>'Active &amp; Renewals'!C59</f>
        <v>1585</v>
      </c>
      <c r="F93" s="9" t="str">
        <f>'Active &amp; Renewals'!D59</f>
        <v>1563</v>
      </c>
      <c r="G93" s="2">
        <f t="shared" si="105"/>
        <v>-22</v>
      </c>
      <c r="H93" s="252" cm="1">
        <f t="array" ref="H93">_xlfn.IFS(G93&gt;20,11,G93&gt;11,10,G93&gt;2,9,G93&gt;0,8,G93&gt;-6,7,G93&gt;-11,6,G93&gt;-16,5,G93&gt;-21,4,G93&gt;-26,3,G93&gt;-31,2,G93&gt;-36,1,TRUE,0)</f>
        <v>3</v>
      </c>
      <c r="I93" s="113" t="str">
        <f>'Active &amp; Renewals'!E59</f>
        <v>89.32</v>
      </c>
      <c r="J93" s="252" cm="1">
        <f t="array" ref="J93">_xlfn.IFS(VALUE(I93)&gt;=90.5,11,VALUE(I93)&gt;=85.5,10,VALUE(I93)&gt;=80.5,9,VALUE(I93)&gt;=75.5,8,VALUE(I93)&gt;=74.5,7,VALUE(I93)&gt;=70.5,6,VALUE(I93)&gt;=64.5,5,VALUE(I93)&gt;=60.5,4,VALUE(I93)&gt;=54.5,3,VALUE(I93)&gt;=50.5,2,VALUE(I93)&gt;=44.5,1,TRUE,0)</f>
        <v>10</v>
      </c>
      <c r="K93" s="195">
        <v>1689.41</v>
      </c>
      <c r="L93" s="195">
        <f>Donations!B98</f>
        <v>1316.45</v>
      </c>
      <c r="M93" s="267">
        <f t="shared" si="106"/>
        <v>-372.96000000000004</v>
      </c>
      <c r="N93" s="268">
        <f t="shared" si="107"/>
        <v>0.77923653819972649</v>
      </c>
      <c r="O93" s="252" cm="1">
        <f t="array" ref="O93">_xlfn.IFS(N93&gt;=115.5%,11,N93&gt;=110.5%,10,N93&gt;=100.5%,9,N93&gt;=99.5%,8,N93&gt;=89.5%,7,N93&gt;=75.5%,6,N93&gt;=60.5%,5,N93&gt;=45.5%,4,N93&gt;=30.5%,3,N93&gt;=15.5%,2,N93&gt;=0.5%,1,TRUE,0)</f>
        <v>6</v>
      </c>
      <c r="P93" s="12">
        <f t="shared" si="108"/>
        <v>0.8305678233438486</v>
      </c>
      <c r="Q93" s="252" cm="1">
        <f t="array" ref="Q93">_xlfn.IFS(P93&gt;10,11,P93&gt;=8.01,10,P93&gt;=6.01,9,P93&gt;=4.01,8,P93=4,7,P93&gt;=3.01,6,P93&gt;=2.01,5,P93&gt;=1.51,4,P93&gt;=1.01,3,P93&gt;=0.51,2,P93&gt;=0.01,1,TRUE,0)</f>
        <v>2</v>
      </c>
      <c r="R93" s="269">
        <v>4755</v>
      </c>
      <c r="S93" s="184">
        <f>Donations!C98</f>
        <v>2400</v>
      </c>
      <c r="T93" s="279">
        <f t="shared" si="109"/>
        <v>1.5141955835962144</v>
      </c>
      <c r="U93" s="10">
        <f t="shared" si="110"/>
        <v>-2355</v>
      </c>
      <c r="V93" s="252" cm="1">
        <f t="array" ref="V93">_xlfn.IFS(T93&gt;=120%,11,T93&gt;=110.5%,10,T93&gt;=100.5%,9,T93&gt;99.9%,8,T93&gt;=85.5%,7,T93&gt;=72.5%,6,T93&gt;=65.5%,5,T93&gt;=55.5%,4,T93&gt;=45.5%,3,T93&gt;=35.5%,2,T93&gt;=20.5%,1,TRUE,0)</f>
        <v>11</v>
      </c>
      <c r="W93" s="269">
        <f t="shared" si="111"/>
        <v>237.75</v>
      </c>
      <c r="X93" s="184">
        <f>Donations!D98</f>
        <v>500</v>
      </c>
      <c r="Y93" s="269">
        <f t="shared" si="112"/>
        <v>0.31545741324921134</v>
      </c>
      <c r="Z93" s="252" cm="1">
        <f t="array" ref="Z93">_xlfn.IFS(Y93&gt;=0.26,11,Y93&gt;=0.21,10,Y93&gt;=0.16,9,Y93=0.15,8,Y93=0.14,7,Y93=0.13,6,Y93&gt;=0.11,5,Y93&gt;=0.09,4,Y93&gt;=0.07,3,Y93&gt;=0.04,2,Y93&gt;=0.01,1,TRUE,0)</f>
        <v>11</v>
      </c>
      <c r="AA93" s="294" t="str">
        <f>'Active &amp; Renewals'!F59</f>
        <v>EXCELLENT</v>
      </c>
      <c r="AB93" s="281" cm="1">
        <f t="array" ref="AB93">_xlfn.IFS(AA93="SUPERIOR",11,AA93="EXCELLENT",9,AA93="GOOD",7,AA93="LATE",5,AA93="NO GRADE",3,AA93="NA",2,AA93="NO REPORT",0)</f>
        <v>9</v>
      </c>
      <c r="AC93" s="294" t="str">
        <f>'Active &amp; Renewals'!H59</f>
        <v>SUPERIOR</v>
      </c>
      <c r="AD93" s="281" cm="1">
        <f t="array" ref="AD93">_xlfn.IFS(AC93="SUPERIOR",11,AC93="EXCELLENT",9,AC93="GOOD",7,AC93="LATE",5,AC93="NO GRADE",3,AC93="NA",2,AC93="NO REPORT",0)</f>
        <v>11</v>
      </c>
      <c r="AE93" s="284" t="str">
        <f>'Active &amp; Renewals'!J59</f>
        <v>NO REPORT</v>
      </c>
      <c r="AF93" s="281" cm="1">
        <f t="array" ref="AF93">_xlfn.IFS(AE93="SUPERIOR",11,AE93="EXCELLENT",9,AE93="GOOD",7,AE93="LATE",5,AE93="NO GRADE",3,AE93="NA",2,AE93="NO REPORT",0)</f>
        <v>0</v>
      </c>
      <c r="AG93" s="284" t="str">
        <f>'Active &amp; Renewals'!L59</f>
        <v>NO REPORT</v>
      </c>
      <c r="AH93" s="281" cm="1">
        <f t="array" ref="AH93">_xlfn.IFS(AG93="SUPERIOR",11,AG93="EXCELLENT",9,AG93="GOOD",7,AG93="LATE",5,AG93="NO GRADE",3,AG93="NA",2,AG93="NO REPORT",0)</f>
        <v>0</v>
      </c>
      <c r="AI93" s="252">
        <f t="shared" si="113"/>
        <v>20</v>
      </c>
      <c r="AJ93" s="188" t="s">
        <v>660</v>
      </c>
      <c r="AK93" s="252" cm="1">
        <f t="array" ref="AK93">_xlfn.IFS(AJ93="8/8",11,AJ93="7/8",7,AJ93="6/8",6,AJ93="5/8",5,AJ93="4/8",4,AJ93="3/8",3,AJ93="2/8",2,AJ93="1/8",1,AJ93="0/8",0,TRUE,0)</f>
        <v>5</v>
      </c>
      <c r="AL93" s="189">
        <v>4</v>
      </c>
      <c r="AM93" s="300" cm="1">
        <f t="array" ref="AM93">_xlfn.IFS(AL93&gt;6,11,AL93&gt;=4,10,AL93&gt;=2,9,AL93=1,8,TRUE,0)</f>
        <v>10</v>
      </c>
      <c r="AN93" s="184">
        <f>Donations!E98</f>
        <v>100</v>
      </c>
      <c r="AO93" s="300" cm="1">
        <f t="array" ref="AO93">_xlfn.IFS(AN93&gt;125,11,AN93&gt;=116,10,AN93&gt;=101,9,AN93=100,8,AN93&gt;=86,7,AN93&gt;=71,6,AN93&gt;=61,5,AN93&gt;=51,4,AN93&gt;=41,3,AN93&gt;=26,2,AN93&gt;=1,1,TRUE,0)</f>
        <v>8</v>
      </c>
      <c r="AP93" s="184">
        <f>Donations!F98</f>
        <v>0</v>
      </c>
      <c r="AQ93" s="300" cm="1">
        <f t="array" ref="AQ93">_xlfn.IFS(AP93&gt;600,11,AP93&gt;=551,10,AP93&gt;=501,9,AP93=500,8,AP93&gt;=326,7,AP93&gt;=251,6,AP93&gt;=201,5,AP93&gt;=151,4,AP93&gt;=101,3,AP93&gt;=76,2,AP93&gt;=1,1,TRUE,0)</f>
        <v>0</v>
      </c>
      <c r="AR93" s="350"/>
      <c r="AS93" s="350"/>
      <c r="AT93" s="350"/>
      <c r="AU93" s="353"/>
      <c r="AV93" s="191">
        <v>0</v>
      </c>
      <c r="AW93" s="187">
        <v>6</v>
      </c>
      <c r="AX93" s="187">
        <v>6</v>
      </c>
      <c r="AY93" s="252">
        <f t="shared" si="115"/>
        <v>12</v>
      </c>
      <c r="AZ93" s="192"/>
      <c r="BA93" s="181"/>
      <c r="BB93" s="193">
        <v>0</v>
      </c>
      <c r="BC93" s="252" cm="1">
        <f t="array" ref="BC93">_xlfn.IFS(BB93=0,11,TRUE,0)</f>
        <v>11</v>
      </c>
      <c r="BD93" s="183">
        <v>0</v>
      </c>
      <c r="BE93" s="183">
        <v>1</v>
      </c>
      <c r="BF93" s="183">
        <v>0</v>
      </c>
      <c r="BG93" s="252">
        <f t="shared" si="116"/>
        <v>1</v>
      </c>
      <c r="BH93" s="183">
        <v>2</v>
      </c>
      <c r="BI93" s="183">
        <v>2</v>
      </c>
      <c r="BJ93" s="183">
        <v>3</v>
      </c>
      <c r="BK93" s="252">
        <f t="shared" si="117"/>
        <v>7</v>
      </c>
    </row>
    <row r="94" spans="1:63" ht="15.75" x14ac:dyDescent="0.25">
      <c r="A94" s="180" t="s">
        <v>40</v>
      </c>
      <c r="B94" s="252">
        <f t="shared" si="104"/>
        <v>123</v>
      </c>
      <c r="C94" s="253">
        <f t="shared" si="118"/>
        <v>4</v>
      </c>
      <c r="D94" s="260">
        <f>'Lodge Rank by District'!E70</f>
        <v>57</v>
      </c>
      <c r="E94" s="9" t="str">
        <f>'Active &amp; Renewals'!C93</f>
        <v>379</v>
      </c>
      <c r="F94" s="9" t="str">
        <f>'Active &amp; Renewals'!D93</f>
        <v>420</v>
      </c>
      <c r="G94" s="2">
        <f t="shared" si="105"/>
        <v>41</v>
      </c>
      <c r="H94" s="252" cm="1">
        <f t="array" ref="H94">_xlfn.IFS(G94&gt;20,11,G94&gt;11,10,G94&gt;2,9,G94&gt;0,8,G94&gt;-6,7,G94&gt;-11,6,G94&gt;-16,5,G94&gt;-21,4,G94&gt;-26,3,G94&gt;-31,2,G94&gt;-36,1,TRUE,0)</f>
        <v>11</v>
      </c>
      <c r="I94" s="113" t="str">
        <f>'Active &amp; Renewals'!E93</f>
        <v>88.39</v>
      </c>
      <c r="J94" s="252" cm="1">
        <f t="array" ref="J94">_xlfn.IFS(VALUE(I94)&gt;=90.5,11,VALUE(I94)&gt;=85.5,10,VALUE(I94)&gt;=80.5,9,VALUE(I94)&gt;=75.5,8,VALUE(I94)&gt;=74.5,7,VALUE(I94)&gt;=70.5,6,VALUE(I94)&gt;=64.5,5,VALUE(I94)&gt;=60.5,4,VALUE(I94)&gt;=54.5,3,VALUE(I94)&gt;=50.5,2,VALUE(I94)&gt;=44.5,1,TRUE,0)</f>
        <v>10</v>
      </c>
      <c r="K94" s="195">
        <v>933</v>
      </c>
      <c r="L94" s="195">
        <f>Donations!B88</f>
        <v>668</v>
      </c>
      <c r="M94" s="267">
        <f t="shared" si="106"/>
        <v>-265</v>
      </c>
      <c r="N94" s="268">
        <f t="shared" si="107"/>
        <v>0.71596998928188638</v>
      </c>
      <c r="O94" s="252" cm="1">
        <f t="array" ref="O94">_xlfn.IFS(N94&gt;=115.5%,11,N94&gt;=110.5%,10,N94&gt;=100.5%,9,N94&gt;=99.5%,8,N94&gt;=89.5%,7,N94&gt;=75.5%,6,N94&gt;=60.5%,5,N94&gt;=45.5%,4,N94&gt;=30.5%,3,N94&gt;=15.5%,2,N94&gt;=0.5%,1,TRUE,0)</f>
        <v>5</v>
      </c>
      <c r="P94" s="12">
        <f t="shared" si="108"/>
        <v>1.762532981530343</v>
      </c>
      <c r="Q94" s="252" cm="1">
        <f t="array" ref="Q94">_xlfn.IFS(P94&gt;10,11,P94&gt;=8.01,10,P94&gt;=6.01,9,P94&gt;=4.01,8,P94=4,7,P94&gt;=3.01,6,P94&gt;=2.01,5,P94&gt;=1.51,4,P94&gt;=1.01,3,P94&gt;=0.51,2,P94&gt;=0.01,1,TRUE,0)</f>
        <v>4</v>
      </c>
      <c r="R94" s="269">
        <v>1137</v>
      </c>
      <c r="S94" s="184">
        <f>Donations!C88</f>
        <v>379</v>
      </c>
      <c r="T94" s="279">
        <f t="shared" si="109"/>
        <v>1</v>
      </c>
      <c r="U94" s="10">
        <f t="shared" si="110"/>
        <v>-758</v>
      </c>
      <c r="V94" s="252" cm="1">
        <f t="array" ref="V94">_xlfn.IFS(T94&gt;=120%,11,T94&gt;=110.5%,10,T94&gt;=100.5%,9,T94&gt;99.9%,8,T94&gt;=85.5%,7,T94&gt;=72.5%,6,T94&gt;=65.5%,5,T94&gt;=55.5%,4,T94&gt;=45.5%,3,T94&gt;=35.5%,2,T94&gt;=20.5%,1,TRUE,0)</f>
        <v>8</v>
      </c>
      <c r="W94" s="269">
        <f t="shared" si="111"/>
        <v>56.85</v>
      </c>
      <c r="X94" s="184">
        <f>Donations!D88</f>
        <v>200</v>
      </c>
      <c r="Y94" s="269">
        <f t="shared" si="112"/>
        <v>0.52770448548812665</v>
      </c>
      <c r="Z94" s="252" cm="1">
        <f t="array" ref="Z94">_xlfn.IFS(Y94&gt;=0.26,11,Y94&gt;=0.21,10,Y94&gt;=0.16,9,Y94=0.15,8,Y94=0.14,7,Y94=0.13,6,Y94&gt;=0.11,5,Y94&gt;=0.09,4,Y94&gt;=0.07,3,Y94&gt;=0.04,2,Y94&gt;=0.01,1,TRUE,0)</f>
        <v>11</v>
      </c>
      <c r="AA94" s="294" t="str">
        <f>'Active &amp; Renewals'!F93</f>
        <v>SUPERIOR</v>
      </c>
      <c r="AB94" s="281" cm="1">
        <f t="array" ref="AB94">_xlfn.IFS(AA94="SUPERIOR",11,AA94="EXCELLENT",9,AA94="GOOD",7,AA94="LATE",5,AA94="NO GRADE",3,AA94="NA",2,AA94="NO REPORT",0)</f>
        <v>11</v>
      </c>
      <c r="AC94" s="294" t="str">
        <f>'Active &amp; Renewals'!H93</f>
        <v>SUPERIOR</v>
      </c>
      <c r="AD94" s="281" cm="1">
        <f t="array" ref="AD94">_xlfn.IFS(AC94="SUPERIOR",11,AC94="EXCELLENT",9,AC94="GOOD",7,AC94="LATE",5,AC94="NO GRADE",3,AC94="NA",2,AC94="NO REPORT",0)</f>
        <v>11</v>
      </c>
      <c r="AE94" s="284" t="str">
        <f>'Active &amp; Renewals'!J93</f>
        <v>NO REPORT</v>
      </c>
      <c r="AF94" s="281" cm="1">
        <f t="array" ref="AF94">_xlfn.IFS(AE94="SUPERIOR",11,AE94="EXCELLENT",9,AE94="GOOD",7,AE94="LATE",5,AE94="NO GRADE",3,AE94="NA",2,AE94="NO REPORT",0)</f>
        <v>0</v>
      </c>
      <c r="AG94" s="284" t="str">
        <f>'Active &amp; Renewals'!L93</f>
        <v>NO REPORT</v>
      </c>
      <c r="AH94" s="281" cm="1">
        <f t="array" ref="AH94">_xlfn.IFS(AG94="SUPERIOR",11,AG94="EXCELLENT",9,AG94="GOOD",7,AG94="LATE",5,AG94="NO GRADE",3,AG94="NA",2,AG94="NO REPORT",0)</f>
        <v>0</v>
      </c>
      <c r="AI94" s="252">
        <f t="shared" si="113"/>
        <v>22</v>
      </c>
      <c r="AJ94" s="188" t="s">
        <v>657</v>
      </c>
      <c r="AK94" s="252" cm="1">
        <f t="array" ref="AK94">_xlfn.IFS(AJ94="8/8",11,AJ94="7/8",7,AJ94="6/8",6,AJ94="5/8",5,AJ94="4/8",4,AJ94="3/8",3,AJ94="2/8",2,AJ94="1/8",1,AJ94="0/8",0,TRUE,0)</f>
        <v>3</v>
      </c>
      <c r="AL94" s="189">
        <v>1</v>
      </c>
      <c r="AM94" s="300" cm="1">
        <f t="array" ref="AM94">_xlfn.IFS(AL94&gt;6,11,AL94&gt;=4,10,AL94&gt;=2,9,AL94=1,8,TRUE,0)</f>
        <v>8</v>
      </c>
      <c r="AN94" s="184">
        <f>Donations!E88</f>
        <v>100</v>
      </c>
      <c r="AO94" s="300" cm="1">
        <f t="array" ref="AO94">_xlfn.IFS(AN94&gt;125,11,AN94&gt;=116,10,AN94&gt;=101,9,AN94=100,8,AN94&gt;=86,7,AN94&gt;=71,6,AN94&gt;=61,5,AN94&gt;=51,4,AN94&gt;=41,3,AN94&gt;=26,2,AN94&gt;=1,1,TRUE,0)</f>
        <v>8</v>
      </c>
      <c r="AP94" s="184">
        <f>Donations!F88</f>
        <v>100</v>
      </c>
      <c r="AQ94" s="300" cm="1">
        <f t="array" ref="AQ94">_xlfn.IFS(AP94&gt;600,11,AP94&gt;=551,10,AP94&gt;=501,9,AP94=500,8,AP94&gt;=326,7,AP94&gt;=251,6,AP94&gt;=201,5,AP94&gt;=151,4,AP94&gt;=101,3,AP94&gt;=76,2,AP94&gt;=1,1,TRUE,0)</f>
        <v>2</v>
      </c>
      <c r="AR94" s="350"/>
      <c r="AS94" s="350"/>
      <c r="AT94" s="350"/>
      <c r="AU94" s="353"/>
      <c r="AV94" s="191">
        <v>0</v>
      </c>
      <c r="AW94" s="187">
        <v>4</v>
      </c>
      <c r="AX94" s="187">
        <v>5</v>
      </c>
      <c r="AY94" s="252">
        <f t="shared" si="115"/>
        <v>9</v>
      </c>
      <c r="AZ94" s="192"/>
      <c r="BA94" s="181"/>
      <c r="BB94" s="193">
        <v>0</v>
      </c>
      <c r="BC94" s="252" cm="1">
        <f t="array" ref="BC94">_xlfn.IFS(BB94=0,11,TRUE,0)</f>
        <v>11</v>
      </c>
      <c r="BD94" s="183">
        <v>4</v>
      </c>
      <c r="BE94" s="183">
        <v>4</v>
      </c>
      <c r="BF94" s="183">
        <v>0</v>
      </c>
      <c r="BG94" s="252">
        <f t="shared" si="116"/>
        <v>8</v>
      </c>
      <c r="BH94" s="183">
        <v>0</v>
      </c>
      <c r="BI94" s="183">
        <v>3</v>
      </c>
      <c r="BJ94" s="183">
        <v>0</v>
      </c>
      <c r="BK94" s="252">
        <f t="shared" si="117"/>
        <v>3</v>
      </c>
    </row>
    <row r="95" spans="1:63" ht="15.75" x14ac:dyDescent="0.25">
      <c r="A95" s="180" t="s">
        <v>665</v>
      </c>
      <c r="B95" s="252">
        <f t="shared" si="104"/>
        <v>82</v>
      </c>
      <c r="C95" s="253">
        <f t="shared" si="118"/>
        <v>8</v>
      </c>
      <c r="D95" s="260">
        <f>'Lodge Rank by District'!E71</f>
        <v>94</v>
      </c>
      <c r="E95" s="9" t="str">
        <f>'Active &amp; Renewals'!C100</f>
        <v>186</v>
      </c>
      <c r="F95" s="9" t="str">
        <f>'Active &amp; Renewals'!D100</f>
        <v>161</v>
      </c>
      <c r="G95" s="2">
        <f t="shared" si="105"/>
        <v>-25</v>
      </c>
      <c r="H95" s="252" cm="1">
        <f t="array" ref="H95">_xlfn.IFS(G95&gt;20,11,G95&gt;11,10,G95&gt;2,9,G95&gt;0,8,G95&gt;-6,7,G95&gt;-11,6,G95&gt;-16,5,G95&gt;-21,4,G95&gt;-26,3,G95&gt;-31,2,G95&gt;-36,1,TRUE,0)</f>
        <v>3</v>
      </c>
      <c r="I95" s="113" t="str">
        <f>'Active &amp; Renewals'!E100</f>
        <v>72.97</v>
      </c>
      <c r="J95" s="252" cm="1">
        <f t="array" ref="J95">_xlfn.IFS(VALUE(I95)&gt;=90.5,11,VALUE(I95)&gt;=85.5,10,VALUE(I95)&gt;=80.5,9,VALUE(I95)&gt;=75.5,8,VALUE(I95)&gt;=74.5,7,VALUE(I95)&gt;=70.5,6,VALUE(I95)&gt;=64.5,5,VALUE(I95)&gt;=60.5,4,VALUE(I95)&gt;=54.5,3,VALUE(I95)&gt;=50.5,2,VALUE(I95)&gt;=44.5,1,TRUE,0)</f>
        <v>6</v>
      </c>
      <c r="K95" s="195">
        <v>401</v>
      </c>
      <c r="L95" s="195">
        <f>Donations!B20</f>
        <v>322</v>
      </c>
      <c r="M95" s="267">
        <f t="shared" si="106"/>
        <v>-79</v>
      </c>
      <c r="N95" s="268">
        <f t="shared" si="107"/>
        <v>0.80299251870324184</v>
      </c>
      <c r="O95" s="252" cm="1">
        <f t="array" ref="O95">_xlfn.IFS(N95&gt;=115.5%,11,N95&gt;=110.5%,10,N95&gt;=100.5%,9,N95&gt;=99.5%,8,N95&gt;=89.5%,7,N95&gt;=75.5%,6,N95&gt;=60.5%,5,N95&gt;=45.5%,4,N95&gt;=30.5%,3,N95&gt;=15.5%,2,N95&gt;=0.5%,1,TRUE,0)</f>
        <v>6</v>
      </c>
      <c r="P95" s="12">
        <f t="shared" si="108"/>
        <v>1.7311827956989247</v>
      </c>
      <c r="Q95" s="252" cm="1">
        <f t="array" ref="Q95">_xlfn.IFS(P95&gt;10,11,P95&gt;=8.01,10,P95&gt;=6.01,9,P95&gt;=4.01,8,P95=4,7,P95&gt;=3.01,6,P95&gt;=2.01,5,P95&gt;=1.51,4,P95&gt;=1.01,3,P95&gt;=0.51,2,P95&gt;=0.01,1,TRUE,0)</f>
        <v>4</v>
      </c>
      <c r="R95" s="269">
        <v>558</v>
      </c>
      <c r="S95" s="184">
        <f>Donations!C20</f>
        <v>75</v>
      </c>
      <c r="T95" s="279">
        <f t="shared" si="109"/>
        <v>0.40322580645161288</v>
      </c>
      <c r="U95" s="10">
        <f t="shared" si="110"/>
        <v>-483</v>
      </c>
      <c r="V95" s="252" cm="1">
        <f t="array" ref="V95">_xlfn.IFS(T95&gt;=120%,11,T95&gt;=110.5%,10,T95&gt;=100.5%,9,T95&gt;99.9%,8,T95&gt;=85.5%,7,T95&gt;=72.5%,6,T95&gt;=65.5%,5,T95&gt;=55.5%,4,T95&gt;=45.5%,3,T95&gt;=35.5%,2,T95&gt;=20.5%,1,TRUE,0)</f>
        <v>2</v>
      </c>
      <c r="W95" s="269">
        <f t="shared" si="111"/>
        <v>27.9</v>
      </c>
      <c r="X95" s="184">
        <f>Donations!D20</f>
        <v>50</v>
      </c>
      <c r="Y95" s="269">
        <f t="shared" si="112"/>
        <v>0.26881720430107525</v>
      </c>
      <c r="Z95" s="252" cm="1">
        <f t="array" ref="Z95">_xlfn.IFS(Y95&gt;=0.26,11,Y95&gt;=0.21,10,Y95&gt;=0.16,9,Y95=0.15,8,Y95=0.14,7,Y95=0.13,6,Y95&gt;=0.11,5,Y95&gt;=0.09,4,Y95&gt;=0.07,3,Y95&gt;=0.04,2,Y95&gt;=0.01,1,TRUE,0)</f>
        <v>11</v>
      </c>
      <c r="AA95" s="294" t="str">
        <f>'Active &amp; Renewals'!F100</f>
        <v>NO GRADE</v>
      </c>
      <c r="AB95" s="281" cm="1">
        <f t="array" ref="AB95">_xlfn.IFS(AA95="SUPERIOR",11,AA95="EXCELLENT",9,AA95="GOOD",7,AA95="LATE",5,AA95="NO GRADE",3,AA95="NA",2,AA95="NO REPORT",0)</f>
        <v>3</v>
      </c>
      <c r="AC95" s="294" t="str">
        <f>'Active &amp; Renewals'!H100</f>
        <v>GOOD</v>
      </c>
      <c r="AD95" s="281" cm="1">
        <f t="array" ref="AD95">_xlfn.IFS(AC95="SUPERIOR",11,AC95="EXCELLENT",9,AC95="GOOD",7,AC95="LATE",5,AC95="NO GRADE",3,AC95="NA",2,AC95="NO REPORT",0)</f>
        <v>7</v>
      </c>
      <c r="AE95" s="284" t="str">
        <f>'Active &amp; Renewals'!J100</f>
        <v>NO REPORT</v>
      </c>
      <c r="AF95" s="281" cm="1">
        <f t="array" ref="AF95">_xlfn.IFS(AE95="SUPERIOR",11,AE95="EXCELLENT",9,AE95="GOOD",7,AE95="LATE",5,AE95="NO GRADE",3,AE95="NA",2,AE95="NO REPORT",0)</f>
        <v>0</v>
      </c>
      <c r="AG95" s="284" t="str">
        <f>'Active &amp; Renewals'!L100</f>
        <v>NO REPORT</v>
      </c>
      <c r="AH95" s="281" cm="1">
        <f t="array" ref="AH95">_xlfn.IFS(AG95="SUPERIOR",11,AG95="EXCELLENT",9,AG95="GOOD",7,AG95="LATE",5,AG95="NO GRADE",3,AG95="NA",2,AG95="NO REPORT",0)</f>
        <v>0</v>
      </c>
      <c r="AI95" s="252">
        <f t="shared" si="113"/>
        <v>10</v>
      </c>
      <c r="AJ95" s="188" t="s">
        <v>655</v>
      </c>
      <c r="AK95" s="252" cm="1">
        <f t="array" ref="AK95">_xlfn.IFS(AJ95="8/8",11,AJ95="7/8",7,AJ95="6/8",6,AJ95="5/8",5,AJ95="4/8",4,AJ95="3/8",3,AJ95="2/8",2,AJ95="1/8",1,AJ95="0/8",0,TRUE,0)</f>
        <v>11</v>
      </c>
      <c r="AL95" s="189">
        <v>1</v>
      </c>
      <c r="AM95" s="300" cm="1">
        <f t="array" ref="AM95">_xlfn.IFS(AL95&gt;6,11,AL95&gt;=4,10,AL95&gt;=2,9,AL95=1,8,TRUE,0)</f>
        <v>8</v>
      </c>
      <c r="AN95" s="184">
        <f>Donations!E20</f>
        <v>0</v>
      </c>
      <c r="AO95" s="300" cm="1">
        <f t="array" ref="AO95">_xlfn.IFS(AN95&gt;125,11,AN95&gt;=116,10,AN95&gt;=101,9,AN95=100,8,AN95&gt;=86,7,AN95&gt;=71,6,AN95&gt;=61,5,AN95&gt;=51,4,AN95&gt;=41,3,AN95&gt;=26,2,AN95&gt;=1,1,TRUE,0)</f>
        <v>0</v>
      </c>
      <c r="AP95" s="184">
        <f>Donations!F20</f>
        <v>0</v>
      </c>
      <c r="AQ95" s="300" cm="1">
        <f t="array" ref="AQ95">_xlfn.IFS(AP95&gt;600,11,AP95&gt;=551,10,AP95&gt;=501,9,AP95=500,8,AP95&gt;=326,7,AP95&gt;=251,6,AP95&gt;=201,5,AP95&gt;=151,4,AP95&gt;=101,3,AP95&gt;=76,2,AP95&gt;=1,1,TRUE,0)</f>
        <v>0</v>
      </c>
      <c r="AR95" s="351"/>
      <c r="AS95" s="351"/>
      <c r="AT95" s="351"/>
      <c r="AU95" s="354"/>
      <c r="AV95" s="191">
        <v>0</v>
      </c>
      <c r="AW95" s="187">
        <v>6</v>
      </c>
      <c r="AX95" s="187">
        <v>0</v>
      </c>
      <c r="AY95" s="252">
        <f t="shared" si="115"/>
        <v>6</v>
      </c>
      <c r="AZ95" s="192"/>
      <c r="BA95" s="181"/>
      <c r="BB95" s="193">
        <v>0</v>
      </c>
      <c r="BC95" s="252" cm="1">
        <f t="array" ref="BC95">_xlfn.IFS(BB95=0,11,TRUE,0)</f>
        <v>11</v>
      </c>
      <c r="BD95" s="183">
        <v>0</v>
      </c>
      <c r="BE95" s="183">
        <v>0</v>
      </c>
      <c r="BF95" s="183">
        <v>2</v>
      </c>
      <c r="BG95" s="252">
        <f t="shared" si="116"/>
        <v>2</v>
      </c>
      <c r="BH95" s="183">
        <v>0</v>
      </c>
      <c r="BI95" s="183">
        <v>0</v>
      </c>
      <c r="BJ95" s="183">
        <v>2</v>
      </c>
      <c r="BK95" s="252">
        <f t="shared" si="117"/>
        <v>2</v>
      </c>
    </row>
    <row r="96" spans="1:63" ht="18.75" x14ac:dyDescent="0.25">
      <c r="A96" s="196" t="s">
        <v>1</v>
      </c>
      <c r="B96" s="254">
        <f>SUM(B87:B95)/9</f>
        <v>118.44444444444444</v>
      </c>
      <c r="C96" s="2"/>
      <c r="D96" s="256">
        <f>'District '!I22</f>
        <v>5</v>
      </c>
      <c r="E96" s="5"/>
      <c r="F96" s="5"/>
      <c r="G96" s="1"/>
      <c r="H96" s="1"/>
      <c r="I96" s="307"/>
      <c r="J96" s="1"/>
      <c r="K96" s="210"/>
      <c r="L96" s="226">
        <f>SUM(L87:L95)</f>
        <v>8256.4500000000007</v>
      </c>
      <c r="M96" s="4"/>
      <c r="N96" s="97"/>
      <c r="O96" s="1"/>
      <c r="P96" s="3"/>
      <c r="Q96" s="1"/>
      <c r="R96" s="267" t="s">
        <v>0</v>
      </c>
      <c r="S96" s="202"/>
      <c r="T96" s="97"/>
      <c r="U96" s="1"/>
      <c r="V96" s="1"/>
      <c r="W96" s="1"/>
      <c r="X96" s="285"/>
      <c r="Y96" s="269"/>
      <c r="Z96" s="1"/>
      <c r="AA96" s="2"/>
      <c r="AB96" s="2"/>
      <c r="AC96" s="2"/>
      <c r="AD96" s="2"/>
      <c r="AE96" s="7"/>
      <c r="AF96" s="18"/>
      <c r="AG96" s="7"/>
      <c r="AH96" s="2"/>
      <c r="AI96" s="1"/>
      <c r="AJ96" s="204"/>
      <c r="AK96" s="1"/>
      <c r="AL96" s="197"/>
      <c r="AM96" s="1"/>
      <c r="AN96" s="205"/>
      <c r="AO96" s="1"/>
      <c r="AP96" s="206"/>
      <c r="AQ96" s="1"/>
      <c r="AR96" s="207"/>
      <c r="AS96" s="207"/>
      <c r="AT96" s="207"/>
      <c r="AU96" s="275"/>
      <c r="AV96" s="212"/>
      <c r="AW96" s="212"/>
      <c r="AX96" s="209"/>
      <c r="AY96" s="1"/>
      <c r="AZ96" s="204"/>
      <c r="BA96" s="197"/>
      <c r="BB96" s="210"/>
      <c r="BC96" s="1"/>
      <c r="BD96" s="197"/>
      <c r="BE96" s="197"/>
      <c r="BF96" s="197"/>
      <c r="BG96" s="1"/>
      <c r="BH96" s="197"/>
      <c r="BI96" s="197"/>
      <c r="BJ96" s="211"/>
      <c r="BK96" s="1"/>
    </row>
    <row r="97" spans="1:63" ht="18.75" x14ac:dyDescent="0.25">
      <c r="A97" s="196"/>
      <c r="B97" s="116"/>
      <c r="C97" s="2"/>
      <c r="D97" s="2"/>
      <c r="E97" s="5"/>
      <c r="F97" s="5"/>
      <c r="G97" s="1"/>
      <c r="H97" s="1"/>
      <c r="I97" s="307"/>
      <c r="J97" s="1"/>
      <c r="K97" s="210"/>
      <c r="L97" s="226"/>
      <c r="M97" s="4"/>
      <c r="N97" s="97"/>
      <c r="O97" s="1"/>
      <c r="P97" s="3"/>
      <c r="Q97" s="1"/>
      <c r="R97" s="267"/>
      <c r="S97" s="202"/>
      <c r="T97" s="97"/>
      <c r="U97" s="1"/>
      <c r="V97" s="1"/>
      <c r="W97" s="1"/>
      <c r="X97" s="285"/>
      <c r="Y97" s="269"/>
      <c r="Z97" s="1"/>
      <c r="AA97" s="2"/>
      <c r="AB97" s="2"/>
      <c r="AC97" s="2"/>
      <c r="AD97" s="2"/>
      <c r="AE97" s="7"/>
      <c r="AF97" s="18"/>
      <c r="AG97" s="7"/>
      <c r="AH97" s="2"/>
      <c r="AI97" s="1"/>
      <c r="AJ97" s="204"/>
      <c r="AK97" s="1"/>
      <c r="AL97" s="197"/>
      <c r="AM97" s="1"/>
      <c r="AN97" s="205"/>
      <c r="AO97" s="1"/>
      <c r="AP97" s="206"/>
      <c r="AQ97" s="1"/>
      <c r="AR97" s="207"/>
      <c r="AS97" s="207"/>
      <c r="AT97" s="207"/>
      <c r="AU97" s="275"/>
      <c r="AV97" s="212"/>
      <c r="AW97" s="212"/>
      <c r="AX97" s="209"/>
      <c r="AY97" s="1"/>
      <c r="AZ97" s="204"/>
      <c r="BA97" s="197"/>
      <c r="BB97" s="210"/>
      <c r="BC97" s="1"/>
      <c r="BD97" s="197"/>
      <c r="BE97" s="197"/>
      <c r="BF97" s="197"/>
      <c r="BG97" s="1"/>
      <c r="BH97" s="197"/>
      <c r="BI97" s="197"/>
      <c r="BJ97" s="211"/>
      <c r="BK97" s="1"/>
    </row>
    <row r="98" spans="1:63" ht="18.75" x14ac:dyDescent="0.25">
      <c r="A98" s="196" t="s">
        <v>38</v>
      </c>
      <c r="B98" s="2"/>
      <c r="C98" s="2"/>
      <c r="D98" s="2"/>
      <c r="E98" s="5"/>
      <c r="F98" s="5"/>
      <c r="G98" s="1"/>
      <c r="H98" s="1"/>
      <c r="I98" s="307"/>
      <c r="J98" s="1"/>
      <c r="K98" s="210"/>
      <c r="L98" s="210"/>
      <c r="M98" s="4"/>
      <c r="N98" s="97"/>
      <c r="O98" s="1"/>
      <c r="P98" s="3"/>
      <c r="Q98" s="1"/>
      <c r="R98" s="267" t="s">
        <v>0</v>
      </c>
      <c r="S98" s="202"/>
      <c r="T98" s="97"/>
      <c r="U98" s="1"/>
      <c r="V98" s="1"/>
      <c r="W98" s="1"/>
      <c r="X98" s="285"/>
      <c r="Y98" s="269"/>
      <c r="Z98" s="1"/>
      <c r="AA98" s="2"/>
      <c r="AB98" s="2"/>
      <c r="AC98" s="2"/>
      <c r="AD98" s="2"/>
      <c r="AE98" s="7"/>
      <c r="AF98" s="18"/>
      <c r="AG98" s="7"/>
      <c r="AH98" s="2"/>
      <c r="AI98" s="1"/>
      <c r="AJ98" s="204"/>
      <c r="AK98" s="1"/>
      <c r="AL98" s="197"/>
      <c r="AM98" s="1"/>
      <c r="AN98" s="205"/>
      <c r="AO98" s="1"/>
      <c r="AP98" s="206"/>
      <c r="AQ98" s="1"/>
      <c r="AR98" s="207"/>
      <c r="AS98" s="207"/>
      <c r="AT98" s="207"/>
      <c r="AU98" s="275"/>
      <c r="AV98" s="212"/>
      <c r="AW98" s="212"/>
      <c r="AX98" s="209"/>
      <c r="AY98" s="1"/>
      <c r="AZ98" s="204"/>
      <c r="BA98" s="197"/>
      <c r="BB98" s="210"/>
      <c r="BC98" s="1"/>
      <c r="BD98" s="197"/>
      <c r="BE98" s="197"/>
      <c r="BF98" s="197"/>
      <c r="BG98" s="1"/>
      <c r="BH98" s="197"/>
      <c r="BI98" s="197"/>
      <c r="BJ98" s="211"/>
      <c r="BK98" s="1"/>
    </row>
    <row r="99" spans="1:63" ht="15.75" x14ac:dyDescent="0.25">
      <c r="A99" s="180" t="s">
        <v>37</v>
      </c>
      <c r="B99" s="252">
        <f t="shared" ref="B99:B105" si="119">+H99+J99+O99+Q99+V99+Z99+AI99+AK99+AM99+AO99+AQ99+AY99+BA99+BC99+BG99+BK99</f>
        <v>65</v>
      </c>
      <c r="C99" s="253">
        <f t="shared" ref="C99:C105" si="120">RANK(B99,$B$99:$B$105)</f>
        <v>7</v>
      </c>
      <c r="D99" s="260">
        <f>'Lodge Rank by District'!E72</f>
        <v>102</v>
      </c>
      <c r="E99" s="9" t="str">
        <f>'Active &amp; Renewals'!C16</f>
        <v>170</v>
      </c>
      <c r="F99" s="9" t="str">
        <f>'Active &amp; Renewals'!D16</f>
        <v>162</v>
      </c>
      <c r="G99" s="2">
        <f t="shared" ref="G99:G105" si="121">+F99-E99</f>
        <v>-8</v>
      </c>
      <c r="H99" s="252" cm="1">
        <f t="array" ref="H99">_xlfn.IFS(G99&gt;20,11,G99&gt;11,10,G99&gt;2,9,G99&gt;0,8,G99&gt;-6,7,G99&gt;-11,6,G99&gt;-16,5,G99&gt;-21,4,G99&gt;-26,3,G99&gt;-31,2,G99&gt;-36,1,TRUE,0)</f>
        <v>6</v>
      </c>
      <c r="I99" s="113" t="str">
        <f>'Active &amp; Renewals'!E16</f>
        <v>85.29</v>
      </c>
      <c r="J99" s="252" cm="1">
        <f t="array" ref="J99">_xlfn.IFS(VALUE(I99)&gt;=90.5,11,VALUE(I99)&gt;=85.5,10,VALUE(I99)&gt;=80.5,9,VALUE(I99)&gt;=75.5,8,VALUE(I99)&gt;=74.5,7,VALUE(I99)&gt;=70.5,6,VALUE(I99)&gt;=64.5,5,VALUE(I99)&gt;=60.5,4,VALUE(I99)&gt;=54.5,3,VALUE(I99)&gt;=50.5,2,VALUE(I99)&gt;=44.5,1,TRUE,0)</f>
        <v>9</v>
      </c>
      <c r="K99" s="195">
        <v>388</v>
      </c>
      <c r="L99" s="195">
        <f>Donations!B104</f>
        <v>371</v>
      </c>
      <c r="M99" s="267">
        <f t="shared" ref="M99:M105" si="122">+L99-K99</f>
        <v>-17</v>
      </c>
      <c r="N99" s="268">
        <f t="shared" ref="N99:N105" si="123">+L99/K99</f>
        <v>0.95618556701030932</v>
      </c>
      <c r="O99" s="252" cm="1">
        <f t="array" ref="O99">_xlfn.IFS(N99&gt;=115.5%,11,N99&gt;=110.5%,10,N99&gt;=100.5%,9,N99&gt;=99.5%,8,N99&gt;=89.5%,7,N99&gt;=75.5%,6,N99&gt;=60.5%,5,N99&gt;=45.5%,4,N99&gt;=30.5%,3,N99&gt;=15.5%,2,N99&gt;=0.5%,1,TRUE,0)</f>
        <v>7</v>
      </c>
      <c r="P99" s="12">
        <f t="shared" ref="P99:P105" si="124">+L99/E99</f>
        <v>2.1823529411764704</v>
      </c>
      <c r="Q99" s="252" cm="1">
        <f t="array" ref="Q99">_xlfn.IFS(P99&gt;10,11,P99&gt;=8.01,10,P99&gt;=6.01,9,P99&gt;=4.01,8,P99=4,7,P99&gt;=3.01,6,P99&gt;=2.01,5,P99&gt;=1.51,4,P99&gt;=1.01,3,P99&gt;=0.51,2,P99&gt;=0.01,1,TRUE,0)</f>
        <v>5</v>
      </c>
      <c r="R99" s="269">
        <v>510</v>
      </c>
      <c r="S99" s="184">
        <f>Donations!C104</f>
        <v>0</v>
      </c>
      <c r="T99" s="279">
        <f t="shared" ref="T99:T105" si="125">+S99/(R99/3)</f>
        <v>0</v>
      </c>
      <c r="U99" s="10">
        <f t="shared" ref="U99:U105" si="126">+S99-R99</f>
        <v>-510</v>
      </c>
      <c r="V99" s="252" cm="1">
        <f t="array" ref="V99">_xlfn.IFS(T99&gt;=120%,11,T99&gt;=110.5%,10,T99&gt;=100.5%,9,T99&gt;99.9%,8,T99&gt;=85.5%,7,T99&gt;=72.5%,6,T99&gt;=65.5%,5,T99&gt;=55.5%,4,T99&gt;=45.5%,3,T99&gt;=35.5%,2,T99&gt;=20.5%,1,TRUE,0)</f>
        <v>0</v>
      </c>
      <c r="W99" s="269">
        <f t="shared" ref="W99:W105" si="127">E99*0.15</f>
        <v>25.5</v>
      </c>
      <c r="X99" s="184">
        <f>Donations!D104</f>
        <v>0</v>
      </c>
      <c r="Y99" s="269">
        <f t="shared" ref="Y99:Y105" si="128">+X99/E99</f>
        <v>0</v>
      </c>
      <c r="Z99" s="252" cm="1">
        <f t="array" ref="Z99">_xlfn.IFS(Y99&gt;=0.26,11,Y99&gt;=0.21,10,Y99&gt;=0.16,9,Y99=0.15,8,Y99=0.14,7,Y99=0.13,6,Y99&gt;=0.11,5,Y99&gt;=0.09,4,Y99&gt;=0.07,3,Y99&gt;=0.04,2,Y99&gt;=0.01,1,TRUE,0)</f>
        <v>0</v>
      </c>
      <c r="AA99" s="294" t="str">
        <f>'Active &amp; Renewals'!F16</f>
        <v>NO GRADE</v>
      </c>
      <c r="AB99" s="281" cm="1">
        <f t="array" ref="AB99">_xlfn.IFS(AA99="SUPERIOR",11,AA99="EXCELLENT",9,AA99="GOOD",7,AA99="LATE",5,AA99="NO GRADE",3,AA99="NA",2,AA99="NO REPORT",0)</f>
        <v>3</v>
      </c>
      <c r="AC99" s="294" t="str">
        <f>'Active &amp; Renewals'!H16</f>
        <v>NO GRADE</v>
      </c>
      <c r="AD99" s="281" cm="1">
        <f t="array" ref="AD99">_xlfn.IFS(AC99="SUPERIOR",11,AC99="EXCELLENT",9,AC99="GOOD",7,AC99="LATE",5,AC99="NO GRADE",3,AC99="NA",2,AC99="NO REPORT",0)</f>
        <v>3</v>
      </c>
      <c r="AE99" s="284" t="str">
        <f>'Active &amp; Renewals'!J16</f>
        <v>NO REPORT</v>
      </c>
      <c r="AF99" s="281" cm="1">
        <f t="array" ref="AF99">_xlfn.IFS(AE99="SUPERIOR",11,AE99="EXCELLENT",9,AE99="GOOD",7,AE99="LATE",5,AE99="NO GRADE",3,AE99="NA",2,AE99="NO REPORT",0)</f>
        <v>0</v>
      </c>
      <c r="AG99" s="284" t="str">
        <f>'Active &amp; Renewals'!L16</f>
        <v>NO REPORT</v>
      </c>
      <c r="AH99" s="281" cm="1">
        <f t="array" ref="AH99">_xlfn.IFS(AG99="SUPERIOR",11,AG99="EXCELLENT",9,AG99="GOOD",7,AG99="LATE",5,AG99="NO GRADE",3,AG99="NA",2,AG99="NO REPORT",0)</f>
        <v>0</v>
      </c>
      <c r="AI99" s="252">
        <f t="shared" ref="AI99:AI105" si="129">SUM(AB99+AD99+AF99+AH99)</f>
        <v>6</v>
      </c>
      <c r="AJ99" s="188" t="s">
        <v>653</v>
      </c>
      <c r="AK99" s="252" cm="1">
        <f t="array" ref="AK99">_xlfn.IFS(AJ99="8/8",11,AJ99="7/8",7,AJ99="6/8",6,AJ99="5/8",5,AJ99="4/8",4,AJ99="3/8",3,AJ99="2/8",2,AJ99="1/8",1,AJ99="0/8",0,TRUE,0)</f>
        <v>6</v>
      </c>
      <c r="AL99" s="189">
        <v>2</v>
      </c>
      <c r="AM99" s="300" cm="1">
        <f t="array" ref="AM99">_xlfn.IFS(AL99&gt;6,11,AL99&gt;=4,10,AL99&gt;=2,9,AL99=1,8,TRUE,0)</f>
        <v>9</v>
      </c>
      <c r="AN99" s="184">
        <f>Donations!E104</f>
        <v>0</v>
      </c>
      <c r="AO99" s="300" cm="1">
        <f t="array" ref="AO99">_xlfn.IFS(AN99&gt;125,11,AN99&gt;=116,10,AN99&gt;=101,9,AN99=100,8,AN99&gt;=86,7,AN99&gt;=71,6,AN99&gt;=61,5,AN99&gt;=51,4,AN99&gt;=41,3,AN99&gt;=26,2,AN99&gt;=1,1,TRUE,0)</f>
        <v>0</v>
      </c>
      <c r="AP99" s="184">
        <f>Donations!F104</f>
        <v>0</v>
      </c>
      <c r="AQ99" s="300" cm="1">
        <f t="array" ref="AQ99">_xlfn.IFS(AP99&gt;600,11,AP99&gt;=551,10,AP99&gt;=501,9,AP99=500,8,AP99&gt;=326,7,AP99&gt;=251,6,AP99&gt;=201,5,AP99&gt;=151,4,AP99&gt;=101,3,AP99&gt;=76,2,AP99&gt;=1,1,TRUE,0)</f>
        <v>0</v>
      </c>
      <c r="AR99" s="350">
        <v>2</v>
      </c>
      <c r="AS99" s="350">
        <v>4</v>
      </c>
      <c r="AT99" s="350">
        <v>0</v>
      </c>
      <c r="AU99" s="352">
        <f t="shared" ref="AU99" si="130">+AR99+AS99+AT99</f>
        <v>6</v>
      </c>
      <c r="AV99" s="191">
        <v>0</v>
      </c>
      <c r="AW99" s="191">
        <v>0</v>
      </c>
      <c r="AX99" s="187">
        <v>3</v>
      </c>
      <c r="AY99" s="252">
        <f t="shared" ref="AY99:AY105" si="131">+AV99+AW99+AX99</f>
        <v>3</v>
      </c>
      <c r="AZ99" s="192"/>
      <c r="BA99" s="181"/>
      <c r="BB99" s="193">
        <v>0</v>
      </c>
      <c r="BC99" s="252" cm="1">
        <f t="array" ref="BC99">_xlfn.IFS(BB99=0,11,TRUE,0)</f>
        <v>11</v>
      </c>
      <c r="BD99" s="183">
        <v>1</v>
      </c>
      <c r="BE99" s="183">
        <v>0</v>
      </c>
      <c r="BF99" s="183">
        <v>0</v>
      </c>
      <c r="BG99" s="252">
        <f t="shared" ref="BG99:BG105" si="132">SUM(BD99+BE99+BF99)</f>
        <v>1</v>
      </c>
      <c r="BH99" s="183">
        <v>1</v>
      </c>
      <c r="BI99" s="183">
        <v>0</v>
      </c>
      <c r="BJ99" s="183">
        <v>1</v>
      </c>
      <c r="BK99" s="252">
        <f t="shared" ref="BK99:BK105" si="133">SUM(BH99+BI99+BJ99)</f>
        <v>2</v>
      </c>
    </row>
    <row r="100" spans="1:63" ht="15.75" x14ac:dyDescent="0.25">
      <c r="A100" s="180" t="s">
        <v>36</v>
      </c>
      <c r="B100" s="252">
        <f t="shared" si="119"/>
        <v>126</v>
      </c>
      <c r="C100" s="253">
        <f t="shared" si="120"/>
        <v>2</v>
      </c>
      <c r="D100" s="260">
        <f>'Lodge Rank by District'!E73</f>
        <v>51</v>
      </c>
      <c r="E100" s="9" t="str">
        <f>'Active &amp; Renewals'!C42</f>
        <v>1604</v>
      </c>
      <c r="F100" s="9" t="str">
        <f>'Active &amp; Renewals'!D42</f>
        <v>1765</v>
      </c>
      <c r="G100" s="2">
        <f t="shared" si="121"/>
        <v>161</v>
      </c>
      <c r="H100" s="252" cm="1">
        <f t="array" ref="H100">_xlfn.IFS(G100&gt;20,11,G100&gt;11,10,G100&gt;2,9,G100&gt;0,8,G100&gt;-6,7,G100&gt;-11,6,G100&gt;-16,5,G100&gt;-21,4,G100&gt;-26,3,G100&gt;-31,2,G100&gt;-36,1,TRUE,0)</f>
        <v>11</v>
      </c>
      <c r="I100" s="113" t="str">
        <f>'Active &amp; Renewals'!E42</f>
        <v>85.22</v>
      </c>
      <c r="J100" s="252" cm="1">
        <f t="array" ref="J100">_xlfn.IFS(VALUE(I100)&gt;=90.5,11,VALUE(I100)&gt;=85.5,10,VALUE(I100)&gt;=80.5,9,VALUE(I100)&gt;=75.5,8,VALUE(I100)&gt;=74.5,7,VALUE(I100)&gt;=70.5,6,VALUE(I100)&gt;=64.5,5,VALUE(I100)&gt;=60.5,4,VALUE(I100)&gt;=54.5,3,VALUE(I100)&gt;=50.5,2,VALUE(I100)&gt;=44.5,1,TRUE,0)</f>
        <v>9</v>
      </c>
      <c r="K100" s="195">
        <v>7453.58</v>
      </c>
      <c r="L100" s="195">
        <f>Donations!B33</f>
        <v>7757</v>
      </c>
      <c r="M100" s="267">
        <f t="shared" si="122"/>
        <v>303.42000000000007</v>
      </c>
      <c r="N100" s="268">
        <f t="shared" si="123"/>
        <v>1.0407079551034537</v>
      </c>
      <c r="O100" s="252" cm="1">
        <f t="array" ref="O100">_xlfn.IFS(N100&gt;=115.5%,11,N100&gt;=110.5%,10,N100&gt;=100.5%,9,N100&gt;=99.5%,8,N100&gt;=89.5%,7,N100&gt;=75.5%,6,N100&gt;=60.5%,5,N100&gt;=45.5%,4,N100&gt;=30.5%,3,N100&gt;=15.5%,2,N100&gt;=0.5%,1,TRUE,0)</f>
        <v>9</v>
      </c>
      <c r="P100" s="12">
        <f t="shared" si="124"/>
        <v>4.8360349127182047</v>
      </c>
      <c r="Q100" s="252" cm="1">
        <f t="array" ref="Q100">_xlfn.IFS(P100&gt;10,11,P100&gt;=8.01,10,P100&gt;=6.01,9,P100&gt;=4.01,8,P100=4,7,P100&gt;=3.01,6,P100&gt;=2.01,5,P100&gt;=1.51,4,P100&gt;=1.01,3,P100&gt;=0.51,2,P100&gt;=0.01,1,TRUE,0)</f>
        <v>8</v>
      </c>
      <c r="R100" s="269">
        <v>4812</v>
      </c>
      <c r="S100" s="184">
        <f>Donations!C33</f>
        <v>500</v>
      </c>
      <c r="T100" s="279">
        <f t="shared" si="125"/>
        <v>0.3117206982543641</v>
      </c>
      <c r="U100" s="10">
        <f t="shared" si="126"/>
        <v>-4312</v>
      </c>
      <c r="V100" s="252" cm="1">
        <f t="array" ref="V100">_xlfn.IFS(T100&gt;=120%,11,T100&gt;=110.5%,10,T100&gt;=100.5%,9,T100&gt;99.9%,8,T100&gt;=85.5%,7,T100&gt;=72.5%,6,T100&gt;=65.5%,5,T100&gt;=55.5%,4,T100&gt;=45.5%,3,T100&gt;=35.5%,2,T100&gt;=20.5%,1,TRUE,0)</f>
        <v>1</v>
      </c>
      <c r="W100" s="269">
        <f t="shared" si="127"/>
        <v>240.6</v>
      </c>
      <c r="X100" s="184">
        <f>Donations!D33</f>
        <v>300</v>
      </c>
      <c r="Y100" s="269">
        <f t="shared" si="128"/>
        <v>0.18703241895261846</v>
      </c>
      <c r="Z100" s="252" cm="1">
        <f t="array" ref="Z100">_xlfn.IFS(Y100&gt;=0.26,11,Y100&gt;=0.21,10,Y100&gt;=0.16,9,Y100=0.15,8,Y100=0.14,7,Y100=0.13,6,Y100&gt;=0.11,5,Y100&gt;=0.09,4,Y100&gt;=0.07,3,Y100&gt;=0.04,2,Y100&gt;=0.01,1,TRUE,0)</f>
        <v>9</v>
      </c>
      <c r="AA100" s="294" t="str">
        <f>'Active &amp; Renewals'!F42</f>
        <v>EXCELLENT</v>
      </c>
      <c r="AB100" s="281" cm="1">
        <f t="array" ref="AB100">_xlfn.IFS(AA100="SUPERIOR",11,AA100="EXCELLENT",9,AA100="GOOD",7,AA100="LATE",5,AA100="NO GRADE",3,AA100="NA",2,AA100="NO REPORT",0)</f>
        <v>9</v>
      </c>
      <c r="AC100" s="294" t="str">
        <f>'Active &amp; Renewals'!H42</f>
        <v>SUPERIOR</v>
      </c>
      <c r="AD100" s="281" cm="1">
        <f t="array" ref="AD100">_xlfn.IFS(AC100="SUPERIOR",11,AC100="EXCELLENT",9,AC100="GOOD",7,AC100="LATE",5,AC100="NO GRADE",3,AC100="NA",2,AC100="NO REPORT",0)</f>
        <v>11</v>
      </c>
      <c r="AE100" s="284" t="str">
        <f>'Active &amp; Renewals'!J42</f>
        <v>NO REPORT</v>
      </c>
      <c r="AF100" s="281" cm="1">
        <f t="array" ref="AF100">_xlfn.IFS(AE100="SUPERIOR",11,AE100="EXCELLENT",9,AE100="GOOD",7,AE100="LATE",5,AE100="NO GRADE",3,AE100="NA",2,AE100="NO REPORT",0)</f>
        <v>0</v>
      </c>
      <c r="AG100" s="284" t="str">
        <f>'Active &amp; Renewals'!L42</f>
        <v>NO REPORT</v>
      </c>
      <c r="AH100" s="281" cm="1">
        <f t="array" ref="AH100">_xlfn.IFS(AG100="SUPERIOR",11,AG100="EXCELLENT",9,AG100="GOOD",7,AG100="LATE",5,AG100="NO GRADE",3,AG100="NA",2,AG100="NO REPORT",0)</f>
        <v>0</v>
      </c>
      <c r="AI100" s="252">
        <f t="shared" si="129"/>
        <v>20</v>
      </c>
      <c r="AJ100" s="188" t="s">
        <v>655</v>
      </c>
      <c r="AK100" s="252" cm="1">
        <f t="array" ref="AK100">_xlfn.IFS(AJ100="8/8",11,AJ100="7/8",7,AJ100="6/8",6,AJ100="5/8",5,AJ100="4/8",4,AJ100="3/8",3,AJ100="2/8",2,AJ100="1/8",1,AJ100="0/8",0,TRUE,0)</f>
        <v>11</v>
      </c>
      <c r="AL100" s="189">
        <v>2</v>
      </c>
      <c r="AM100" s="300" cm="1">
        <f t="array" ref="AM100">_xlfn.IFS(AL100&gt;6,11,AL100&gt;=4,10,AL100&gt;=2,9,AL100=1,8,TRUE,0)</f>
        <v>9</v>
      </c>
      <c r="AN100" s="184">
        <f>Donations!E33</f>
        <v>100</v>
      </c>
      <c r="AO100" s="300" cm="1">
        <f t="array" ref="AO100">_xlfn.IFS(AN100&gt;125,11,AN100&gt;=116,10,AN100&gt;=101,9,AN100=100,8,AN100&gt;=86,7,AN100&gt;=71,6,AN100&gt;=61,5,AN100&gt;=51,4,AN100&gt;=41,3,AN100&gt;=26,2,AN100&gt;=1,1,TRUE,0)</f>
        <v>8</v>
      </c>
      <c r="AP100" s="184">
        <f>Donations!F33</f>
        <v>250</v>
      </c>
      <c r="AQ100" s="300" cm="1">
        <f t="array" ref="AQ100">_xlfn.IFS(AP100&gt;600,11,AP100&gt;=551,10,AP100&gt;=501,9,AP100=500,8,AP100&gt;=326,7,AP100&gt;=251,6,AP100&gt;=201,5,AP100&gt;=151,4,AP100&gt;=101,3,AP100&gt;=76,2,AP100&gt;=1,1,TRUE,0)</f>
        <v>5</v>
      </c>
      <c r="AR100" s="350"/>
      <c r="AS100" s="350"/>
      <c r="AT100" s="350"/>
      <c r="AU100" s="353"/>
      <c r="AV100" s="191">
        <v>1</v>
      </c>
      <c r="AW100" s="191">
        <v>3</v>
      </c>
      <c r="AX100" s="187">
        <v>3</v>
      </c>
      <c r="AY100" s="252">
        <f t="shared" si="131"/>
        <v>7</v>
      </c>
      <c r="AZ100" s="192"/>
      <c r="BA100" s="181"/>
      <c r="BB100" s="193">
        <v>0</v>
      </c>
      <c r="BC100" s="252" cm="1">
        <f t="array" ref="BC100">_xlfn.IFS(BB100=0,11,TRUE,0)</f>
        <v>11</v>
      </c>
      <c r="BD100" s="183">
        <v>0</v>
      </c>
      <c r="BE100" s="183">
        <v>4</v>
      </c>
      <c r="BF100" s="183">
        <v>1</v>
      </c>
      <c r="BG100" s="252">
        <f t="shared" si="132"/>
        <v>5</v>
      </c>
      <c r="BH100" s="183">
        <v>0</v>
      </c>
      <c r="BI100" s="183">
        <v>3</v>
      </c>
      <c r="BJ100" s="183">
        <v>0</v>
      </c>
      <c r="BK100" s="252">
        <f t="shared" si="133"/>
        <v>3</v>
      </c>
    </row>
    <row r="101" spans="1:63" ht="15.75" x14ac:dyDescent="0.25">
      <c r="A101" s="180" t="s">
        <v>35</v>
      </c>
      <c r="B101" s="252">
        <f t="shared" si="119"/>
        <v>108</v>
      </c>
      <c r="C101" s="253">
        <f t="shared" si="120"/>
        <v>6</v>
      </c>
      <c r="D101" s="260">
        <f>'Lodge Rank by District'!E74</f>
        <v>76</v>
      </c>
      <c r="E101" s="9" t="str">
        <f>'Active &amp; Renewals'!C43</f>
        <v>968</v>
      </c>
      <c r="F101" s="9" t="str">
        <f>'Active &amp; Renewals'!D43</f>
        <v>971</v>
      </c>
      <c r="G101" s="2">
        <f t="shared" si="121"/>
        <v>3</v>
      </c>
      <c r="H101" s="252" cm="1">
        <f t="array" ref="H101">_xlfn.IFS(G101&gt;20,11,G101&gt;11,10,G101&gt;2,9,G101&gt;0,8,G101&gt;-6,7,G101&gt;-11,6,G101&gt;-16,5,G101&gt;-21,4,G101&gt;-26,3,G101&gt;-31,2,G101&gt;-36,1,TRUE,0)</f>
        <v>9</v>
      </c>
      <c r="I101" s="113" t="str">
        <f>'Active &amp; Renewals'!E43</f>
        <v>84.61</v>
      </c>
      <c r="J101" s="252" cm="1">
        <f t="array" ref="J101">_xlfn.IFS(VALUE(I101)&gt;=90.5,11,VALUE(I101)&gt;=85.5,10,VALUE(I101)&gt;=80.5,9,VALUE(I101)&gt;=75.5,8,VALUE(I101)&gt;=74.5,7,VALUE(I101)&gt;=70.5,6,VALUE(I101)&gt;=64.5,5,VALUE(I101)&gt;=60.5,4,VALUE(I101)&gt;=54.5,3,VALUE(I101)&gt;=50.5,2,VALUE(I101)&gt;=44.5,1,TRUE,0)</f>
        <v>9</v>
      </c>
      <c r="K101" s="195">
        <v>1410</v>
      </c>
      <c r="L101" s="195">
        <f>Donations!B47</f>
        <v>2122</v>
      </c>
      <c r="M101" s="267">
        <f t="shared" si="122"/>
        <v>712</v>
      </c>
      <c r="N101" s="268">
        <f t="shared" si="123"/>
        <v>1.5049645390070923</v>
      </c>
      <c r="O101" s="252" cm="1">
        <f t="array" ref="O101">_xlfn.IFS(N101&gt;=115.5%,11,N101&gt;=110.5%,10,N101&gt;=100.5%,9,N101&gt;=99.5%,8,N101&gt;=89.5%,7,N101&gt;=75.5%,6,N101&gt;=60.5%,5,N101&gt;=45.5%,4,N101&gt;=30.5%,3,N101&gt;=15.5%,2,N101&gt;=0.5%,1,TRUE,0)</f>
        <v>11</v>
      </c>
      <c r="P101" s="12">
        <f t="shared" si="124"/>
        <v>2.1921487603305785</v>
      </c>
      <c r="Q101" s="252" cm="1">
        <f t="array" ref="Q101">_xlfn.IFS(P101&gt;10,11,P101&gt;=8.01,10,P101&gt;=6.01,9,P101&gt;=4.01,8,P101=4,7,P101&gt;=3.01,6,P101&gt;=2.01,5,P101&gt;=1.51,4,P101&gt;=1.01,3,P101&gt;=0.51,2,P101&gt;=0.01,1,TRUE,0)</f>
        <v>5</v>
      </c>
      <c r="R101" s="269">
        <v>2904</v>
      </c>
      <c r="S101" s="184">
        <f>Donations!C47</f>
        <v>100</v>
      </c>
      <c r="T101" s="279">
        <f t="shared" si="125"/>
        <v>0.10330578512396695</v>
      </c>
      <c r="U101" s="10">
        <f t="shared" si="126"/>
        <v>-2804</v>
      </c>
      <c r="V101" s="252" cm="1">
        <f t="array" ref="V101">_xlfn.IFS(T101&gt;=120%,11,T101&gt;=110.5%,10,T101&gt;=100.5%,9,T101&gt;99.9%,8,T101&gt;=85.5%,7,T101&gt;=72.5%,6,T101&gt;=65.5%,5,T101&gt;=55.5%,4,T101&gt;=45.5%,3,T101&gt;=35.5%,2,T101&gt;=20.5%,1,TRUE,0)</f>
        <v>0</v>
      </c>
      <c r="W101" s="269">
        <f t="shared" si="127"/>
        <v>145.19999999999999</v>
      </c>
      <c r="X101" s="184">
        <f>Donations!D47</f>
        <v>100</v>
      </c>
      <c r="Y101" s="269">
        <f t="shared" si="128"/>
        <v>0.10330578512396695</v>
      </c>
      <c r="Z101" s="252" cm="1">
        <f t="array" ref="Z101">_xlfn.IFS(Y101&gt;=0.26,11,Y101&gt;=0.21,10,Y101&gt;=0.16,9,Y101=0.15,8,Y101=0.14,7,Y101=0.13,6,Y101&gt;=0.11,5,Y101&gt;=0.09,4,Y101&gt;=0.07,3,Y101&gt;=0.04,2,Y101&gt;=0.01,1,TRUE,0)</f>
        <v>4</v>
      </c>
      <c r="AA101" s="294" t="str">
        <f>'Active &amp; Renewals'!F43</f>
        <v>EXCELLENT</v>
      </c>
      <c r="AB101" s="281" cm="1">
        <f t="array" ref="AB101">_xlfn.IFS(AA101="SUPERIOR",11,AA101="EXCELLENT",9,AA101="GOOD",7,AA101="LATE",5,AA101="NO GRADE",3,AA101="NA",2,AA101="NO REPORT",0)</f>
        <v>9</v>
      </c>
      <c r="AC101" s="294" t="str">
        <f>'Active &amp; Renewals'!H43</f>
        <v>EXCELLENT</v>
      </c>
      <c r="AD101" s="281" cm="1">
        <f t="array" ref="AD101">_xlfn.IFS(AC101="SUPERIOR",11,AC101="EXCELLENT",9,AC101="GOOD",7,AC101="LATE",5,AC101="NO GRADE",3,AC101="NA",2,AC101="NO REPORT",0)</f>
        <v>9</v>
      </c>
      <c r="AE101" s="284" t="str">
        <f>'Active &amp; Renewals'!J43</f>
        <v>NO REPORT</v>
      </c>
      <c r="AF101" s="281" cm="1">
        <f t="array" ref="AF101">_xlfn.IFS(AE101="SUPERIOR",11,AE101="EXCELLENT",9,AE101="GOOD",7,AE101="LATE",5,AE101="NO GRADE",3,AE101="NA",2,AE101="NO REPORT",0)</f>
        <v>0</v>
      </c>
      <c r="AG101" s="284" t="str">
        <f>'Active &amp; Renewals'!L43</f>
        <v>NO REPORT</v>
      </c>
      <c r="AH101" s="281" cm="1">
        <f t="array" ref="AH101">_xlfn.IFS(AG101="SUPERIOR",11,AG101="EXCELLENT",9,AG101="GOOD",7,AG101="LATE",5,AG101="NO GRADE",3,AG101="NA",2,AG101="NO REPORT",0)</f>
        <v>0</v>
      </c>
      <c r="AI101" s="252">
        <f t="shared" si="129"/>
        <v>18</v>
      </c>
      <c r="AJ101" s="188" t="s">
        <v>664</v>
      </c>
      <c r="AK101" s="252" cm="1">
        <f t="array" ref="AK101">_xlfn.IFS(AJ101="8/8",11,AJ101="7/8",7,AJ101="6/8",6,AJ101="5/8",5,AJ101="4/8",4,AJ101="3/8",3,AJ101="2/8",2,AJ101="1/8",1,AJ101="0/8",0,TRUE,0)</f>
        <v>0</v>
      </c>
      <c r="AL101" s="189">
        <v>1</v>
      </c>
      <c r="AM101" s="300" cm="1">
        <f t="array" ref="AM101">_xlfn.IFS(AL101&gt;6,11,AL101&gt;=4,10,AL101&gt;=2,9,AL101=1,8,TRUE,0)</f>
        <v>8</v>
      </c>
      <c r="AN101" s="184">
        <f>Donations!E47</f>
        <v>100</v>
      </c>
      <c r="AO101" s="300" cm="1">
        <f t="array" ref="AO101">_xlfn.IFS(AN101&gt;125,11,AN101&gt;=116,10,AN101&gt;=101,9,AN101=100,8,AN101&gt;=86,7,AN101&gt;=71,6,AN101&gt;=61,5,AN101&gt;=51,4,AN101&gt;=41,3,AN101&gt;=26,2,AN101&gt;=1,1,TRUE,0)</f>
        <v>8</v>
      </c>
      <c r="AP101" s="184">
        <f>Donations!F47</f>
        <v>200</v>
      </c>
      <c r="AQ101" s="300" cm="1">
        <f t="array" ref="AQ101">_xlfn.IFS(AP101&gt;600,11,AP101&gt;=551,10,AP101&gt;=501,9,AP101=500,8,AP101&gt;=326,7,AP101&gt;=251,6,AP101&gt;=201,5,AP101&gt;=151,4,AP101&gt;=101,3,AP101&gt;=76,2,AP101&gt;=1,1,TRUE,0)</f>
        <v>4</v>
      </c>
      <c r="AR101" s="350"/>
      <c r="AS101" s="350"/>
      <c r="AT101" s="350"/>
      <c r="AU101" s="353"/>
      <c r="AV101" s="191">
        <v>3</v>
      </c>
      <c r="AW101" s="191">
        <v>1</v>
      </c>
      <c r="AX101" s="187">
        <v>4</v>
      </c>
      <c r="AY101" s="252">
        <f t="shared" si="131"/>
        <v>8</v>
      </c>
      <c r="AZ101" s="192"/>
      <c r="BA101" s="181"/>
      <c r="BB101" s="193">
        <v>0</v>
      </c>
      <c r="BC101" s="252" cm="1">
        <f t="array" ref="BC101">_xlfn.IFS(BB101=0,11,TRUE,0)</f>
        <v>11</v>
      </c>
      <c r="BD101" s="183">
        <v>3</v>
      </c>
      <c r="BE101" s="183">
        <v>1</v>
      </c>
      <c r="BF101" s="183">
        <v>4</v>
      </c>
      <c r="BG101" s="252">
        <f t="shared" si="132"/>
        <v>8</v>
      </c>
      <c r="BH101" s="183">
        <v>2</v>
      </c>
      <c r="BI101" s="183">
        <v>0</v>
      </c>
      <c r="BJ101" s="183">
        <v>3</v>
      </c>
      <c r="BK101" s="252">
        <f t="shared" si="133"/>
        <v>5</v>
      </c>
    </row>
    <row r="102" spans="1:63" ht="15.75" x14ac:dyDescent="0.25">
      <c r="A102" s="180" t="s">
        <v>34</v>
      </c>
      <c r="B102" s="252">
        <f t="shared" si="119"/>
        <v>132</v>
      </c>
      <c r="C102" s="253">
        <f t="shared" si="120"/>
        <v>1</v>
      </c>
      <c r="D102" s="260">
        <f>'Lodge Rank by District'!E75</f>
        <v>45</v>
      </c>
      <c r="E102" s="9" t="str">
        <f>'Active &amp; Renewals'!C44</f>
        <v>704</v>
      </c>
      <c r="F102" s="9" t="str">
        <f>'Active &amp; Renewals'!D44</f>
        <v>822</v>
      </c>
      <c r="G102" s="2">
        <f t="shared" si="121"/>
        <v>118</v>
      </c>
      <c r="H102" s="252" cm="1">
        <f t="array" ref="H102">_xlfn.IFS(G102&gt;20,11,G102&gt;11,10,G102&gt;2,9,G102&gt;0,8,G102&gt;-6,7,G102&gt;-11,6,G102&gt;-16,5,G102&gt;-21,4,G102&gt;-26,3,G102&gt;-31,2,G102&gt;-36,1,TRUE,0)</f>
        <v>11</v>
      </c>
      <c r="I102" s="113" t="str">
        <f>'Active &amp; Renewals'!E44</f>
        <v>84.92</v>
      </c>
      <c r="J102" s="252" cm="1">
        <f t="array" ref="J102">_xlfn.IFS(VALUE(I102)&gt;=90.5,11,VALUE(I102)&gt;=85.5,10,VALUE(I102)&gt;=80.5,9,VALUE(I102)&gt;=75.5,8,VALUE(I102)&gt;=74.5,7,VALUE(I102)&gt;=70.5,6,VALUE(I102)&gt;=64.5,5,VALUE(I102)&gt;=60.5,4,VALUE(I102)&gt;=54.5,3,VALUE(I102)&gt;=50.5,2,VALUE(I102)&gt;=44.5,1,TRUE,0)</f>
        <v>9</v>
      </c>
      <c r="K102" s="195">
        <v>7900</v>
      </c>
      <c r="L102" s="195">
        <f>Donations!B95</f>
        <v>2750</v>
      </c>
      <c r="M102" s="267">
        <f t="shared" si="122"/>
        <v>-5150</v>
      </c>
      <c r="N102" s="268">
        <f t="shared" si="123"/>
        <v>0.34810126582278483</v>
      </c>
      <c r="O102" s="252" cm="1">
        <f t="array" ref="O102">_xlfn.IFS(N102&gt;=115.5%,11,N102&gt;=110.5%,10,N102&gt;=100.5%,9,N102&gt;=99.5%,8,N102&gt;=89.5%,7,N102&gt;=75.5%,6,N102&gt;=60.5%,5,N102&gt;=45.5%,4,N102&gt;=30.5%,3,N102&gt;=15.5%,2,N102&gt;=0.5%,1,TRUE,0)</f>
        <v>3</v>
      </c>
      <c r="P102" s="12">
        <f t="shared" si="124"/>
        <v>3.90625</v>
      </c>
      <c r="Q102" s="252" cm="1">
        <f t="array" ref="Q102">_xlfn.IFS(P102&gt;10,11,P102&gt;=8.01,10,P102&gt;=6.01,9,P102&gt;=4.01,8,P102=4,7,P102&gt;=3.01,6,P102&gt;=2.01,5,P102&gt;=1.51,4,P102&gt;=1.01,3,P102&gt;=0.51,2,P102&gt;=0.01,1,TRUE,0)</f>
        <v>6</v>
      </c>
      <c r="R102" s="269">
        <v>2112</v>
      </c>
      <c r="S102" s="184">
        <f>Donations!C95</f>
        <v>2300</v>
      </c>
      <c r="T102" s="279">
        <f t="shared" si="125"/>
        <v>3.2670454545454546</v>
      </c>
      <c r="U102" s="10">
        <f t="shared" si="126"/>
        <v>188</v>
      </c>
      <c r="V102" s="252" cm="1">
        <f t="array" ref="V102">_xlfn.IFS(T102&gt;=120%,11,T102&gt;=110.5%,10,T102&gt;=100.5%,9,T102&gt;99.9%,8,T102&gt;=85.5%,7,T102&gt;=72.5%,6,T102&gt;=65.5%,5,T102&gt;=55.5%,4,T102&gt;=45.5%,3,T102&gt;=35.5%,2,T102&gt;=20.5%,1,TRUE,0)</f>
        <v>11</v>
      </c>
      <c r="W102" s="269">
        <f t="shared" si="127"/>
        <v>105.6</v>
      </c>
      <c r="X102" s="184">
        <f>Donations!D95</f>
        <v>250</v>
      </c>
      <c r="Y102" s="269">
        <f t="shared" si="128"/>
        <v>0.35511363636363635</v>
      </c>
      <c r="Z102" s="252" cm="1">
        <f t="array" ref="Z102">_xlfn.IFS(Y102&gt;=0.26,11,Y102&gt;=0.21,10,Y102&gt;=0.16,9,Y102=0.15,8,Y102=0.14,7,Y102=0.13,6,Y102&gt;=0.11,5,Y102&gt;=0.09,4,Y102&gt;=0.07,3,Y102&gt;=0.04,2,Y102&gt;=0.01,1,TRUE,0)</f>
        <v>11</v>
      </c>
      <c r="AA102" s="294" t="str">
        <f>'Active &amp; Renewals'!F44</f>
        <v>SUPERIOR</v>
      </c>
      <c r="AB102" s="281" cm="1">
        <f t="array" ref="AB102">_xlfn.IFS(AA102="SUPERIOR",11,AA102="EXCELLENT",9,AA102="GOOD",7,AA102="LATE",5,AA102="NO GRADE",3,AA102="NA",2,AA102="NO REPORT",0)</f>
        <v>11</v>
      </c>
      <c r="AC102" s="294" t="str">
        <f>'Active &amp; Renewals'!H44</f>
        <v>SUPERIOR</v>
      </c>
      <c r="AD102" s="281" cm="1">
        <f t="array" ref="AD102">_xlfn.IFS(AC102="SUPERIOR",11,AC102="EXCELLENT",9,AC102="GOOD",7,AC102="LATE",5,AC102="NO GRADE",3,AC102="NA",2,AC102="NO REPORT",0)</f>
        <v>11</v>
      </c>
      <c r="AE102" s="284" t="str">
        <f>'Active &amp; Renewals'!J44</f>
        <v>NO REPORT</v>
      </c>
      <c r="AF102" s="281" cm="1">
        <f t="array" ref="AF102">_xlfn.IFS(AE102="SUPERIOR",11,AE102="EXCELLENT",9,AE102="GOOD",7,AE102="LATE",5,AE102="NO GRADE",3,AE102="NA",2,AE102="NO REPORT",0)</f>
        <v>0</v>
      </c>
      <c r="AG102" s="284" t="str">
        <f>'Active &amp; Renewals'!L44</f>
        <v>NO REPORT</v>
      </c>
      <c r="AH102" s="281" cm="1">
        <f t="array" ref="AH102">_xlfn.IFS(AG102="SUPERIOR",11,AG102="EXCELLENT",9,AG102="GOOD",7,AG102="LATE",5,AG102="NO GRADE",3,AG102="NA",2,AG102="NO REPORT",0)</f>
        <v>0</v>
      </c>
      <c r="AI102" s="252">
        <f t="shared" si="129"/>
        <v>22</v>
      </c>
      <c r="AJ102" s="188" t="s">
        <v>655</v>
      </c>
      <c r="AK102" s="252" cm="1">
        <f t="array" ref="AK102">_xlfn.IFS(AJ102="8/8",11,AJ102="7/8",7,AJ102="6/8",6,AJ102="5/8",5,AJ102="4/8",4,AJ102="3/8",3,AJ102="2/8",2,AJ102="1/8",1,AJ102="0/8",0,TRUE,0)</f>
        <v>11</v>
      </c>
      <c r="AL102" s="189">
        <v>5</v>
      </c>
      <c r="AM102" s="300" cm="1">
        <f t="array" ref="AM102">_xlfn.IFS(AL102&gt;6,11,AL102&gt;=4,10,AL102&gt;=2,9,AL102=1,8,TRUE,0)</f>
        <v>10</v>
      </c>
      <c r="AN102" s="184">
        <f>Donations!E95</f>
        <v>100</v>
      </c>
      <c r="AO102" s="300" cm="1">
        <f t="array" ref="AO102">_xlfn.IFS(AN102&gt;125,11,AN102&gt;=116,10,AN102&gt;=101,9,AN102=100,8,AN102&gt;=86,7,AN102&gt;=71,6,AN102&gt;=61,5,AN102&gt;=51,4,AN102&gt;=41,3,AN102&gt;=26,2,AN102&gt;=1,1,TRUE,0)</f>
        <v>8</v>
      </c>
      <c r="AP102" s="184">
        <f>Donations!F95</f>
        <v>275</v>
      </c>
      <c r="AQ102" s="300" cm="1">
        <f t="array" ref="AQ102">_xlfn.IFS(AP102&gt;600,11,AP102&gt;=551,10,AP102&gt;=501,9,AP102=500,8,AP102&gt;=326,7,AP102&gt;=251,6,AP102&gt;=201,5,AP102&gt;=151,4,AP102&gt;=101,3,AP102&gt;=76,2,AP102&gt;=1,1,TRUE,0)</f>
        <v>6</v>
      </c>
      <c r="AR102" s="350"/>
      <c r="AS102" s="350"/>
      <c r="AT102" s="350"/>
      <c r="AU102" s="353"/>
      <c r="AV102" s="191">
        <v>0</v>
      </c>
      <c r="AW102" s="191">
        <v>0</v>
      </c>
      <c r="AX102" s="187">
        <v>4</v>
      </c>
      <c r="AY102" s="252">
        <f t="shared" si="131"/>
        <v>4</v>
      </c>
      <c r="AZ102" s="192"/>
      <c r="BA102" s="181"/>
      <c r="BB102" s="193">
        <v>0</v>
      </c>
      <c r="BC102" s="252" cm="1">
        <f t="array" ref="BC102">_xlfn.IFS(BB102=0,11,TRUE,0)</f>
        <v>11</v>
      </c>
      <c r="BD102" s="183">
        <v>2</v>
      </c>
      <c r="BE102" s="183">
        <v>0</v>
      </c>
      <c r="BF102" s="183">
        <v>4</v>
      </c>
      <c r="BG102" s="252">
        <f t="shared" si="132"/>
        <v>6</v>
      </c>
      <c r="BH102" s="183">
        <v>0</v>
      </c>
      <c r="BI102" s="183">
        <v>0</v>
      </c>
      <c r="BJ102" s="183">
        <v>3</v>
      </c>
      <c r="BK102" s="252">
        <f t="shared" si="133"/>
        <v>3</v>
      </c>
    </row>
    <row r="103" spans="1:63" ht="15.75" x14ac:dyDescent="0.25">
      <c r="A103" s="180" t="s">
        <v>33</v>
      </c>
      <c r="B103" s="252">
        <f t="shared" si="119"/>
        <v>118</v>
      </c>
      <c r="C103" s="253">
        <f t="shared" si="120"/>
        <v>5</v>
      </c>
      <c r="D103" s="260">
        <f>'Lodge Rank by District'!E76</f>
        <v>65</v>
      </c>
      <c r="E103" s="9" t="str">
        <f>'Active &amp; Renewals'!C48</f>
        <v>208</v>
      </c>
      <c r="F103" s="9" t="str">
        <f>'Active &amp; Renewals'!D48</f>
        <v>213</v>
      </c>
      <c r="G103" s="2">
        <f t="shared" si="121"/>
        <v>5</v>
      </c>
      <c r="H103" s="252" cm="1">
        <f t="array" ref="H103">_xlfn.IFS(G103&gt;20,11,G103&gt;11,10,G103&gt;2,9,G103&gt;0,8,G103&gt;-6,7,G103&gt;-11,6,G103&gt;-16,5,G103&gt;-21,4,G103&gt;-26,3,G103&gt;-31,2,G103&gt;-36,1,TRUE,0)</f>
        <v>9</v>
      </c>
      <c r="I103" s="113" t="str">
        <f>'Active &amp; Renewals'!E48</f>
        <v>83.65</v>
      </c>
      <c r="J103" s="252" cm="1">
        <f t="array" ref="J103">_xlfn.IFS(VALUE(I103)&gt;=90.5,11,VALUE(I103)&gt;=85.5,10,VALUE(I103)&gt;=80.5,9,VALUE(I103)&gt;=75.5,8,VALUE(I103)&gt;=74.5,7,VALUE(I103)&gt;=70.5,6,VALUE(I103)&gt;=64.5,5,VALUE(I103)&gt;=60.5,4,VALUE(I103)&gt;=54.5,3,VALUE(I103)&gt;=50.5,2,VALUE(I103)&gt;=44.5,1,TRUE,0)</f>
        <v>9</v>
      </c>
      <c r="K103" s="195">
        <v>708</v>
      </c>
      <c r="L103" s="195">
        <f>Donations!B94</f>
        <v>788</v>
      </c>
      <c r="M103" s="267">
        <f t="shared" si="122"/>
        <v>80</v>
      </c>
      <c r="N103" s="268">
        <f t="shared" si="123"/>
        <v>1.1129943502824859</v>
      </c>
      <c r="O103" s="252" cm="1">
        <f t="array" ref="O103">_xlfn.IFS(N103&gt;=115.5%,11,N103&gt;=110.5%,10,N103&gt;=100.5%,9,N103&gt;=99.5%,8,N103&gt;=89.5%,7,N103&gt;=75.5%,6,N103&gt;=60.5%,5,N103&gt;=45.5%,4,N103&gt;=30.5%,3,N103&gt;=15.5%,2,N103&gt;=0.5%,1,TRUE,0)</f>
        <v>10</v>
      </c>
      <c r="P103" s="12">
        <f t="shared" si="124"/>
        <v>3.7884615384615383</v>
      </c>
      <c r="Q103" s="252" cm="1">
        <f t="array" ref="Q103">_xlfn.IFS(P103&gt;10,11,P103&gt;=8.01,10,P103&gt;=6.01,9,P103&gt;=4.01,8,P103=4,7,P103&gt;=3.01,6,P103&gt;=2.01,5,P103&gt;=1.51,4,P103&gt;=1.01,3,P103&gt;=0.51,2,P103&gt;=0.01,1,TRUE,0)</f>
        <v>6</v>
      </c>
      <c r="R103" s="269">
        <v>624</v>
      </c>
      <c r="S103" s="184">
        <f>Donations!C94</f>
        <v>100</v>
      </c>
      <c r="T103" s="279">
        <f t="shared" si="125"/>
        <v>0.48076923076923078</v>
      </c>
      <c r="U103" s="10">
        <f t="shared" si="126"/>
        <v>-524</v>
      </c>
      <c r="V103" s="252" cm="1">
        <f t="array" ref="V103">_xlfn.IFS(T103&gt;=120%,11,T103&gt;=110.5%,10,T103&gt;=100.5%,9,T103&gt;99.9%,8,T103&gt;=85.5%,7,T103&gt;=72.5%,6,T103&gt;=65.5%,5,T103&gt;=55.5%,4,T103&gt;=45.5%,3,T103&gt;=35.5%,2,T103&gt;=20.5%,1,TRUE,0)</f>
        <v>3</v>
      </c>
      <c r="W103" s="269">
        <f t="shared" si="127"/>
        <v>31.2</v>
      </c>
      <c r="X103" s="184">
        <f>Donations!D94</f>
        <v>35</v>
      </c>
      <c r="Y103" s="269">
        <f t="shared" si="128"/>
        <v>0.16826923076923078</v>
      </c>
      <c r="Z103" s="252" cm="1">
        <f t="array" ref="Z103">_xlfn.IFS(Y103&gt;=0.26,11,Y103&gt;=0.21,10,Y103&gt;=0.16,9,Y103=0.15,8,Y103=0.14,7,Y103=0.13,6,Y103&gt;=0.11,5,Y103&gt;=0.09,4,Y103&gt;=0.07,3,Y103&gt;=0.04,2,Y103&gt;=0.01,1,TRUE,0)</f>
        <v>9</v>
      </c>
      <c r="AA103" s="294" t="str">
        <f>'Active &amp; Renewals'!F48</f>
        <v>EXCELLENT</v>
      </c>
      <c r="AB103" s="281" cm="1">
        <f t="array" ref="AB103">_xlfn.IFS(AA103="SUPERIOR",11,AA103="EXCELLENT",9,AA103="GOOD",7,AA103="LATE",5,AA103="NO GRADE",3,AA103="NA",2,AA103="NO REPORT",0)</f>
        <v>9</v>
      </c>
      <c r="AC103" s="294" t="str">
        <f>'Active &amp; Renewals'!H48</f>
        <v>SUPERIOR</v>
      </c>
      <c r="AD103" s="281" cm="1">
        <f t="array" ref="AD103">_xlfn.IFS(AC103="SUPERIOR",11,AC103="EXCELLENT",9,AC103="GOOD",7,AC103="LATE",5,AC103="NO GRADE",3,AC103="NA",2,AC103="NO REPORT",0)</f>
        <v>11</v>
      </c>
      <c r="AE103" s="284" t="str">
        <f>'Active &amp; Renewals'!J48</f>
        <v>NO REPORT</v>
      </c>
      <c r="AF103" s="281" cm="1">
        <f t="array" ref="AF103">_xlfn.IFS(AE103="SUPERIOR",11,AE103="EXCELLENT",9,AE103="GOOD",7,AE103="LATE",5,AE103="NO GRADE",3,AE103="NA",2,AE103="NO REPORT",0)</f>
        <v>0</v>
      </c>
      <c r="AG103" s="284" t="str">
        <f>'Active &amp; Renewals'!L48</f>
        <v>NO REPORT</v>
      </c>
      <c r="AH103" s="281" cm="1">
        <f t="array" ref="AH103">_xlfn.IFS(AG103="SUPERIOR",11,AG103="EXCELLENT",9,AG103="GOOD",7,AG103="LATE",5,AG103="NO GRADE",3,AG103="NA",2,AG103="NO REPORT",0)</f>
        <v>0</v>
      </c>
      <c r="AI103" s="252">
        <f t="shared" si="129"/>
        <v>20</v>
      </c>
      <c r="AJ103" s="188" t="s">
        <v>658</v>
      </c>
      <c r="AK103" s="252" cm="1">
        <f t="array" ref="AK103">_xlfn.IFS(AJ103="8/8",11,AJ103="7/8",7,AJ103="6/8",6,AJ103="5/8",5,AJ103="4/8",4,AJ103="3/8",3,AJ103="2/8",2,AJ103="1/8",1,AJ103="0/8",0,TRUE,0)</f>
        <v>4</v>
      </c>
      <c r="AL103" s="189">
        <v>4</v>
      </c>
      <c r="AM103" s="300" cm="1">
        <f t="array" ref="AM103">_xlfn.IFS(AL103&gt;6,11,AL103&gt;=4,10,AL103&gt;=2,9,AL103=1,8,TRUE,0)</f>
        <v>10</v>
      </c>
      <c r="AN103" s="184">
        <f>Donations!E94</f>
        <v>100</v>
      </c>
      <c r="AO103" s="300" cm="1">
        <f t="array" ref="AO103">_xlfn.IFS(AN103&gt;125,11,AN103&gt;=116,10,AN103&gt;=101,9,AN103=100,8,AN103&gt;=86,7,AN103&gt;=71,6,AN103&gt;=61,5,AN103&gt;=51,4,AN103&gt;=41,3,AN103&gt;=26,2,AN103&gt;=1,1,TRUE,0)</f>
        <v>8</v>
      </c>
      <c r="AP103" s="184">
        <f>Donations!F94</f>
        <v>0</v>
      </c>
      <c r="AQ103" s="300" cm="1">
        <f t="array" ref="AQ103">_xlfn.IFS(AP103&gt;600,11,AP103&gt;=551,10,AP103&gt;=501,9,AP103=500,8,AP103&gt;=326,7,AP103&gt;=251,6,AP103&gt;=201,5,AP103&gt;=151,4,AP103&gt;=101,3,AP103&gt;=76,2,AP103&gt;=1,1,TRUE,0)</f>
        <v>0</v>
      </c>
      <c r="AR103" s="350"/>
      <c r="AS103" s="350"/>
      <c r="AT103" s="350"/>
      <c r="AU103" s="353"/>
      <c r="AV103" s="191">
        <v>0</v>
      </c>
      <c r="AW103" s="191">
        <v>0</v>
      </c>
      <c r="AX103" s="187">
        <v>4</v>
      </c>
      <c r="AY103" s="252">
        <f t="shared" si="131"/>
        <v>4</v>
      </c>
      <c r="AZ103" s="192"/>
      <c r="BA103" s="181"/>
      <c r="BB103" s="193">
        <v>0</v>
      </c>
      <c r="BC103" s="252" cm="1">
        <f t="array" ref="BC103">_xlfn.IFS(BB103=0,11,TRUE,0)</f>
        <v>11</v>
      </c>
      <c r="BD103" s="183">
        <v>4</v>
      </c>
      <c r="BE103" s="183">
        <v>4</v>
      </c>
      <c r="BF103" s="183">
        <v>4</v>
      </c>
      <c r="BG103" s="252">
        <f t="shared" si="132"/>
        <v>12</v>
      </c>
      <c r="BH103" s="183">
        <v>0</v>
      </c>
      <c r="BI103" s="183">
        <v>0</v>
      </c>
      <c r="BJ103" s="183">
        <v>3</v>
      </c>
      <c r="BK103" s="252">
        <f t="shared" si="133"/>
        <v>3</v>
      </c>
    </row>
    <row r="104" spans="1:63" ht="15.75" x14ac:dyDescent="0.25">
      <c r="A104" s="180" t="s">
        <v>32</v>
      </c>
      <c r="B104" s="252">
        <f t="shared" si="119"/>
        <v>119</v>
      </c>
      <c r="C104" s="253">
        <f t="shared" si="120"/>
        <v>4</v>
      </c>
      <c r="D104" s="260">
        <f>'Lodge Rank by District'!E77</f>
        <v>62</v>
      </c>
      <c r="E104" s="9" t="str">
        <f>'Active &amp; Renewals'!C65</f>
        <v>298</v>
      </c>
      <c r="F104" s="9" t="str">
        <f>'Active &amp; Renewals'!D65</f>
        <v>301</v>
      </c>
      <c r="G104" s="2">
        <f t="shared" si="121"/>
        <v>3</v>
      </c>
      <c r="H104" s="252" cm="1">
        <f t="array" ref="H104">_xlfn.IFS(G104&gt;20,11,G104&gt;11,10,G104&gt;2,9,G104&gt;0,8,G104&gt;-6,7,G104&gt;-11,6,G104&gt;-16,5,G104&gt;-21,4,G104&gt;-26,3,G104&gt;-31,2,G104&gt;-36,1,TRUE,0)</f>
        <v>9</v>
      </c>
      <c r="I104" s="113" t="str">
        <f>'Active &amp; Renewals'!E65</f>
        <v>78.72</v>
      </c>
      <c r="J104" s="252" cm="1">
        <f t="array" ref="J104">_xlfn.IFS(VALUE(I104)&gt;=90.5,11,VALUE(I104)&gt;=85.5,10,VALUE(I104)&gt;=80.5,9,VALUE(I104)&gt;=75.5,8,VALUE(I104)&gt;=74.5,7,VALUE(I104)&gt;=70.5,6,VALUE(I104)&gt;=64.5,5,VALUE(I104)&gt;=60.5,4,VALUE(I104)&gt;=54.5,3,VALUE(I104)&gt;=50.5,2,VALUE(I104)&gt;=44.5,1,TRUE,0)</f>
        <v>8</v>
      </c>
      <c r="K104" s="195">
        <v>905</v>
      </c>
      <c r="L104" s="195">
        <f>Donations!B6</f>
        <v>1315</v>
      </c>
      <c r="M104" s="267">
        <f t="shared" si="122"/>
        <v>410</v>
      </c>
      <c r="N104" s="268">
        <f t="shared" si="123"/>
        <v>1.4530386740331491</v>
      </c>
      <c r="O104" s="252" cm="1">
        <f t="array" ref="O104">_xlfn.IFS(N104&gt;=115.5%,11,N104&gt;=110.5%,10,N104&gt;=100.5%,9,N104&gt;=99.5%,8,N104&gt;=89.5%,7,N104&gt;=75.5%,6,N104&gt;=60.5%,5,N104&gt;=45.5%,4,N104&gt;=30.5%,3,N104&gt;=15.5%,2,N104&gt;=0.5%,1,TRUE,0)</f>
        <v>11</v>
      </c>
      <c r="P104" s="12">
        <f t="shared" si="124"/>
        <v>4.4127516778523486</v>
      </c>
      <c r="Q104" s="252" cm="1">
        <f t="array" ref="Q104">_xlfn.IFS(P104&gt;10,11,P104&gt;=8.01,10,P104&gt;=6.01,9,P104&gt;=4.01,8,P104=4,7,P104&gt;=3.01,6,P104&gt;=2.01,5,P104&gt;=1.51,4,P104&gt;=1.01,3,P104&gt;=0.51,2,P104&gt;=0.01,1,TRUE,0)</f>
        <v>8</v>
      </c>
      <c r="R104" s="269">
        <v>894</v>
      </c>
      <c r="S104" s="184">
        <f>Donations!C6</f>
        <v>675</v>
      </c>
      <c r="T104" s="279">
        <f t="shared" si="125"/>
        <v>2.2651006711409396</v>
      </c>
      <c r="U104" s="10">
        <f t="shared" si="126"/>
        <v>-219</v>
      </c>
      <c r="V104" s="252" cm="1">
        <f t="array" ref="V104">_xlfn.IFS(T104&gt;=120%,11,T104&gt;=110.5%,10,T104&gt;=100.5%,9,T104&gt;99.9%,8,T104&gt;=85.5%,7,T104&gt;=72.5%,6,T104&gt;=65.5%,5,T104&gt;=55.5%,4,T104&gt;=45.5%,3,T104&gt;=35.5%,2,T104&gt;=20.5%,1,TRUE,0)</f>
        <v>11</v>
      </c>
      <c r="W104" s="269">
        <f t="shared" si="127"/>
        <v>44.699999999999996</v>
      </c>
      <c r="X104" s="184">
        <f>Donations!D6</f>
        <v>50</v>
      </c>
      <c r="Y104" s="269">
        <f t="shared" si="128"/>
        <v>0.16778523489932887</v>
      </c>
      <c r="Z104" s="252" cm="1">
        <f t="array" ref="Z104">_xlfn.IFS(Y104&gt;=0.26,11,Y104&gt;=0.21,10,Y104&gt;=0.16,9,Y104=0.15,8,Y104=0.14,7,Y104=0.13,6,Y104&gt;=0.11,5,Y104&gt;=0.09,4,Y104&gt;=0.07,3,Y104&gt;=0.04,2,Y104&gt;=0.01,1,TRUE,0)</f>
        <v>9</v>
      </c>
      <c r="AA104" s="294" t="str">
        <f>'Active &amp; Renewals'!F65</f>
        <v>EXCELLENT</v>
      </c>
      <c r="AB104" s="281" cm="1">
        <f t="array" ref="AB104">_xlfn.IFS(AA104="SUPERIOR",11,AA104="EXCELLENT",9,AA104="GOOD",7,AA104="LATE",5,AA104="NO GRADE",3,AA104="NA",2,AA104="NO REPORT",0)</f>
        <v>9</v>
      </c>
      <c r="AC104" s="294" t="str">
        <f>'Active &amp; Renewals'!H65</f>
        <v>EXCELLENT</v>
      </c>
      <c r="AD104" s="281" cm="1">
        <f t="array" ref="AD104">_xlfn.IFS(AC104="SUPERIOR",11,AC104="EXCELLENT",9,AC104="GOOD",7,AC104="LATE",5,AC104="NO GRADE",3,AC104="NA",2,AC104="NO REPORT",0)</f>
        <v>9</v>
      </c>
      <c r="AE104" s="284" t="str">
        <f>'Active &amp; Renewals'!J65</f>
        <v>NO REPORT</v>
      </c>
      <c r="AF104" s="281" cm="1">
        <f t="array" ref="AF104">_xlfn.IFS(AE104="SUPERIOR",11,AE104="EXCELLENT",9,AE104="GOOD",7,AE104="LATE",5,AE104="NO GRADE",3,AE104="NA",2,AE104="NO REPORT",0)</f>
        <v>0</v>
      </c>
      <c r="AG104" s="284" t="str">
        <f>'Active &amp; Renewals'!L65</f>
        <v>NO REPORT</v>
      </c>
      <c r="AH104" s="281" cm="1">
        <f t="array" ref="AH104">_xlfn.IFS(AG104="SUPERIOR",11,AG104="EXCELLENT",9,AG104="GOOD",7,AG104="LATE",5,AG104="NO GRADE",3,AG104="NA",2,AG104="NO REPORT",0)</f>
        <v>0</v>
      </c>
      <c r="AI104" s="252">
        <f t="shared" si="129"/>
        <v>18</v>
      </c>
      <c r="AJ104" s="188" t="s">
        <v>658</v>
      </c>
      <c r="AK104" s="252" cm="1">
        <f t="array" ref="AK104">_xlfn.IFS(AJ104="8/8",11,AJ104="7/8",7,AJ104="6/8",6,AJ104="5/8",5,AJ104="4/8",4,AJ104="3/8",3,AJ104="2/8",2,AJ104="1/8",1,AJ104="0/8",0,TRUE,0)</f>
        <v>4</v>
      </c>
      <c r="AL104" s="189">
        <v>1</v>
      </c>
      <c r="AM104" s="300" cm="1">
        <f t="array" ref="AM104">_xlfn.IFS(AL104&gt;6,11,AL104&gt;=4,10,AL104&gt;=2,9,AL104=1,8,TRUE,0)</f>
        <v>8</v>
      </c>
      <c r="AN104" s="184">
        <f>Donations!E6</f>
        <v>100</v>
      </c>
      <c r="AO104" s="300" cm="1">
        <f t="array" ref="AO104">_xlfn.IFS(AN104&gt;125,11,AN104&gt;=116,10,AN104&gt;=101,9,AN104=100,8,AN104&gt;=86,7,AN104&gt;=71,6,AN104&gt;=61,5,AN104&gt;=51,4,AN104&gt;=41,3,AN104&gt;=26,2,AN104&gt;=1,1,TRUE,0)</f>
        <v>8</v>
      </c>
      <c r="AP104" s="184">
        <f>Donations!F6</f>
        <v>50</v>
      </c>
      <c r="AQ104" s="300" cm="1">
        <f t="array" ref="AQ104">_xlfn.IFS(AP104&gt;600,11,AP104&gt;=551,10,AP104&gt;=501,9,AP104=500,8,AP104&gt;=326,7,AP104&gt;=251,6,AP104&gt;=201,5,AP104&gt;=151,4,AP104&gt;=101,3,AP104&gt;=76,2,AP104&gt;=1,1,TRUE,0)</f>
        <v>1</v>
      </c>
      <c r="AR104" s="350"/>
      <c r="AS104" s="350"/>
      <c r="AT104" s="350"/>
      <c r="AU104" s="353"/>
      <c r="AV104" s="191">
        <v>3</v>
      </c>
      <c r="AW104" s="191">
        <v>2</v>
      </c>
      <c r="AX104" s="187">
        <v>1</v>
      </c>
      <c r="AY104" s="252">
        <f t="shared" si="131"/>
        <v>6</v>
      </c>
      <c r="AZ104" s="192"/>
      <c r="BA104" s="181"/>
      <c r="BB104" s="193">
        <v>0</v>
      </c>
      <c r="BC104" s="252" cm="1">
        <f t="array" ref="BC104">_xlfn.IFS(BB104=0,11,TRUE,0)</f>
        <v>11</v>
      </c>
      <c r="BD104" s="183">
        <v>2</v>
      </c>
      <c r="BE104" s="183">
        <v>1</v>
      </c>
      <c r="BF104" s="183">
        <v>2</v>
      </c>
      <c r="BG104" s="252">
        <f t="shared" si="132"/>
        <v>5</v>
      </c>
      <c r="BH104" s="183">
        <v>1</v>
      </c>
      <c r="BI104" s="183">
        <v>0</v>
      </c>
      <c r="BJ104" s="183">
        <v>1</v>
      </c>
      <c r="BK104" s="252">
        <f t="shared" si="133"/>
        <v>2</v>
      </c>
    </row>
    <row r="105" spans="1:63" ht="15.75" x14ac:dyDescent="0.25">
      <c r="A105" s="180" t="s">
        <v>31</v>
      </c>
      <c r="B105" s="252">
        <f t="shared" si="119"/>
        <v>121</v>
      </c>
      <c r="C105" s="253">
        <f t="shared" si="120"/>
        <v>3</v>
      </c>
      <c r="D105" s="260">
        <f>'Lodge Rank by District'!E78</f>
        <v>59</v>
      </c>
      <c r="E105" s="9" t="str">
        <f>'Active &amp; Renewals'!C95</f>
        <v>466</v>
      </c>
      <c r="F105" s="9" t="str">
        <f>'Active &amp; Renewals'!D95</f>
        <v>470</v>
      </c>
      <c r="G105" s="2">
        <f t="shared" si="121"/>
        <v>4</v>
      </c>
      <c r="H105" s="252" cm="1">
        <f t="array" ref="H105">_xlfn.IFS(G105&gt;20,11,G105&gt;11,10,G105&gt;2,9,G105&gt;0,8,G105&gt;-6,7,G105&gt;-11,6,G105&gt;-16,5,G105&gt;-21,4,G105&gt;-26,3,G105&gt;-31,2,G105&gt;-36,1,TRUE,0)</f>
        <v>9</v>
      </c>
      <c r="I105" s="113" t="str">
        <f>'Active &amp; Renewals'!E95</f>
        <v>79.09</v>
      </c>
      <c r="J105" s="252" cm="1">
        <f t="array" ref="J105">_xlfn.IFS(VALUE(I105)&gt;=90.5,11,VALUE(I105)&gt;=85.5,10,VALUE(I105)&gt;=80.5,9,VALUE(I105)&gt;=75.5,8,VALUE(I105)&gt;=74.5,7,VALUE(I105)&gt;=70.5,6,VALUE(I105)&gt;=64.5,5,VALUE(I105)&gt;=60.5,4,VALUE(I105)&gt;=54.5,3,VALUE(I105)&gt;=50.5,2,VALUE(I105)&gt;=44.5,1,TRUE,0)</f>
        <v>8</v>
      </c>
      <c r="K105" s="195">
        <v>2289</v>
      </c>
      <c r="L105" s="195">
        <f>Donations!B43</f>
        <v>1692</v>
      </c>
      <c r="M105" s="267">
        <f t="shared" si="122"/>
        <v>-597</v>
      </c>
      <c r="N105" s="268">
        <f t="shared" si="123"/>
        <v>0.73918741808650068</v>
      </c>
      <c r="O105" s="252" cm="1">
        <f t="array" ref="O105">_xlfn.IFS(N105&gt;=115.5%,11,N105&gt;=110.5%,10,N105&gt;=100.5%,9,N105&gt;=99.5%,8,N105&gt;=89.5%,7,N105&gt;=75.5%,6,N105&gt;=60.5%,5,N105&gt;=45.5%,4,N105&gt;=30.5%,3,N105&gt;=15.5%,2,N105&gt;=0.5%,1,TRUE,0)</f>
        <v>5</v>
      </c>
      <c r="P105" s="12">
        <f t="shared" si="124"/>
        <v>3.6309012875536482</v>
      </c>
      <c r="Q105" s="252" cm="1">
        <f t="array" ref="Q105">_xlfn.IFS(P105&gt;10,11,P105&gt;=8.01,10,P105&gt;=6.01,9,P105&gt;=4.01,8,P105=4,7,P105&gt;=3.01,6,P105&gt;=2.01,5,P105&gt;=1.51,4,P105&gt;=1.01,3,P105&gt;=0.51,2,P105&gt;=0.01,1,TRUE,0)</f>
        <v>6</v>
      </c>
      <c r="R105" s="269">
        <v>1398</v>
      </c>
      <c r="S105" s="184">
        <f>Donations!C43</f>
        <v>479</v>
      </c>
      <c r="T105" s="279">
        <f t="shared" si="125"/>
        <v>1.0278969957081545</v>
      </c>
      <c r="U105" s="10">
        <f t="shared" si="126"/>
        <v>-919</v>
      </c>
      <c r="V105" s="252" cm="1">
        <f t="array" ref="V105">_xlfn.IFS(T105&gt;=120%,11,T105&gt;=110.5%,10,T105&gt;=100.5%,9,T105&gt;99.9%,8,T105&gt;=85.5%,7,T105&gt;=72.5%,6,T105&gt;=65.5%,5,T105&gt;=55.5%,4,T105&gt;=45.5%,3,T105&gt;=35.5%,2,T105&gt;=20.5%,1,TRUE,0)</f>
        <v>9</v>
      </c>
      <c r="W105" s="269">
        <f t="shared" si="127"/>
        <v>69.899999999999991</v>
      </c>
      <c r="X105" s="184">
        <f>Donations!D43</f>
        <v>1095</v>
      </c>
      <c r="Y105" s="269">
        <f t="shared" si="128"/>
        <v>2.3497854077253217</v>
      </c>
      <c r="Z105" s="252" cm="1">
        <f t="array" ref="Z105">_xlfn.IFS(Y105&gt;=0.26,11,Y105&gt;=0.21,10,Y105&gt;=0.16,9,Y105=0.15,8,Y105=0.14,7,Y105=0.13,6,Y105&gt;=0.11,5,Y105&gt;=0.09,4,Y105&gt;=0.07,3,Y105&gt;=0.04,2,Y105&gt;=0.01,1,TRUE,0)</f>
        <v>11</v>
      </c>
      <c r="AA105" s="294" t="str">
        <f>'Active &amp; Renewals'!F95</f>
        <v>NO GRADE</v>
      </c>
      <c r="AB105" s="281" cm="1">
        <f t="array" ref="AB105">_xlfn.IFS(AA105="SUPERIOR",11,AA105="EXCELLENT",9,AA105="GOOD",7,AA105="LATE",5,AA105="NO GRADE",3,AA105="NA",2,AA105="NO REPORT",0)</f>
        <v>3</v>
      </c>
      <c r="AC105" s="294" t="str">
        <f>'Active &amp; Renewals'!H95</f>
        <v>EXCELLENT</v>
      </c>
      <c r="AD105" s="281" cm="1">
        <f t="array" ref="AD105">_xlfn.IFS(AC105="SUPERIOR",11,AC105="EXCELLENT",9,AC105="GOOD",7,AC105="LATE",5,AC105="NO GRADE",3,AC105="NA",2,AC105="NO REPORT",0)</f>
        <v>9</v>
      </c>
      <c r="AE105" s="284" t="str">
        <f>'Active &amp; Renewals'!J95</f>
        <v>NO REPORT</v>
      </c>
      <c r="AF105" s="281" cm="1">
        <f t="array" ref="AF105">_xlfn.IFS(AE105="SUPERIOR",11,AE105="EXCELLENT",9,AE105="GOOD",7,AE105="LATE",5,AE105="NO GRADE",3,AE105="NA",2,AE105="NO REPORT",0)</f>
        <v>0</v>
      </c>
      <c r="AG105" s="284" t="str">
        <f>'Active &amp; Renewals'!L95</f>
        <v>NO REPORT</v>
      </c>
      <c r="AH105" s="281" cm="1">
        <f t="array" ref="AH105">_xlfn.IFS(AG105="SUPERIOR",11,AG105="EXCELLENT",9,AG105="GOOD",7,AG105="LATE",5,AG105="NO GRADE",3,AG105="NA",2,AG105="NO REPORT",0)</f>
        <v>0</v>
      </c>
      <c r="AI105" s="252">
        <f t="shared" si="129"/>
        <v>12</v>
      </c>
      <c r="AJ105" s="188" t="s">
        <v>656</v>
      </c>
      <c r="AK105" s="252" cm="1">
        <f t="array" ref="AK105">_xlfn.IFS(AJ105="8/8",11,AJ105="7/8",7,AJ105="6/8",6,AJ105="5/8",5,AJ105="4/8",4,AJ105="3/8",3,AJ105="2/8",2,AJ105="1/8",1,AJ105="0/8",0,TRUE,0)</f>
        <v>7</v>
      </c>
      <c r="AL105" s="189">
        <v>2</v>
      </c>
      <c r="AM105" s="300" cm="1">
        <f t="array" ref="AM105">_xlfn.IFS(AL105&gt;6,11,AL105&gt;=4,10,AL105&gt;=2,9,AL105=1,8,TRUE,0)</f>
        <v>9</v>
      </c>
      <c r="AN105" s="184">
        <f>Donations!E43</f>
        <v>380</v>
      </c>
      <c r="AO105" s="300" cm="1">
        <f t="array" ref="AO105">_xlfn.IFS(AN105&gt;125,11,AN105&gt;=116,10,AN105&gt;=101,9,AN105=100,8,AN105&gt;=86,7,AN105&gt;=71,6,AN105&gt;=61,5,AN105&gt;=51,4,AN105&gt;=41,3,AN105&gt;=26,2,AN105&gt;=1,1,TRUE,0)</f>
        <v>11</v>
      </c>
      <c r="AP105" s="184">
        <f>Donations!F43</f>
        <v>0</v>
      </c>
      <c r="AQ105" s="300" cm="1">
        <f t="array" ref="AQ105">_xlfn.IFS(AP105&gt;600,11,AP105&gt;=551,10,AP105&gt;=501,9,AP105=500,8,AP105&gt;=326,7,AP105&gt;=251,6,AP105&gt;=201,5,AP105&gt;=151,4,AP105&gt;=101,3,AP105&gt;=76,2,AP105&gt;=1,1,TRUE,0)</f>
        <v>0</v>
      </c>
      <c r="AR105" s="351"/>
      <c r="AS105" s="351"/>
      <c r="AT105" s="351"/>
      <c r="AU105" s="354"/>
      <c r="AV105" s="191">
        <v>3</v>
      </c>
      <c r="AW105" s="191">
        <v>4</v>
      </c>
      <c r="AX105" s="187">
        <v>2</v>
      </c>
      <c r="AY105" s="252">
        <f t="shared" si="131"/>
        <v>9</v>
      </c>
      <c r="AZ105" s="192"/>
      <c r="BA105" s="181"/>
      <c r="BB105" s="193">
        <v>0</v>
      </c>
      <c r="BC105" s="252" cm="1">
        <f t="array" ref="BC105">_xlfn.IFS(BB105=0,11,TRUE,0)</f>
        <v>11</v>
      </c>
      <c r="BD105" s="183">
        <v>2</v>
      </c>
      <c r="BE105" s="183">
        <v>3</v>
      </c>
      <c r="BF105" s="183">
        <v>4</v>
      </c>
      <c r="BG105" s="252">
        <f t="shared" si="132"/>
        <v>9</v>
      </c>
      <c r="BH105" s="183">
        <v>0</v>
      </c>
      <c r="BI105" s="183">
        <v>2</v>
      </c>
      <c r="BJ105" s="183">
        <v>3</v>
      </c>
      <c r="BK105" s="252">
        <f t="shared" si="133"/>
        <v>5</v>
      </c>
    </row>
    <row r="106" spans="1:63" ht="18.75" x14ac:dyDescent="0.25">
      <c r="A106" s="196" t="s">
        <v>1</v>
      </c>
      <c r="B106" s="254">
        <f>SUM(B99:B105)/8</f>
        <v>98.625</v>
      </c>
      <c r="C106" s="2"/>
      <c r="D106" s="256">
        <f>'District '!J22</f>
        <v>11</v>
      </c>
      <c r="E106" s="5"/>
      <c r="F106" s="9" t="s">
        <v>0</v>
      </c>
      <c r="G106" s="1"/>
      <c r="H106" s="1"/>
      <c r="I106" s="307"/>
      <c r="J106" s="1"/>
      <c r="K106" s="185"/>
      <c r="L106" s="226">
        <f>SUM(L99:L105)</f>
        <v>16795</v>
      </c>
      <c r="M106" s="278" t="s">
        <v>0</v>
      </c>
      <c r="N106" s="97"/>
      <c r="O106" s="1"/>
      <c r="P106" s="3"/>
      <c r="Q106" s="1"/>
      <c r="R106" s="267" t="s">
        <v>0</v>
      </c>
      <c r="S106" s="241"/>
      <c r="T106" s="295"/>
      <c r="U106" s="1"/>
      <c r="V106" s="1"/>
      <c r="W106" s="1"/>
      <c r="X106" s="285"/>
      <c r="Y106" s="269"/>
      <c r="Z106" s="1"/>
      <c r="AA106" s="2"/>
      <c r="AB106" s="2"/>
      <c r="AC106" s="2"/>
      <c r="AD106" s="2"/>
      <c r="AE106" s="7"/>
      <c r="AF106" s="18"/>
      <c r="AG106" s="7"/>
      <c r="AH106" s="2"/>
      <c r="AI106" s="1"/>
      <c r="AJ106" s="204"/>
      <c r="AK106" s="1"/>
      <c r="AL106" s="197"/>
      <c r="AM106" s="1"/>
      <c r="AN106" s="205"/>
      <c r="AO106" s="1"/>
      <c r="AP106" s="206"/>
      <c r="AQ106" s="1"/>
      <c r="AR106" s="207"/>
      <c r="AS106" s="207"/>
      <c r="AT106" s="207"/>
      <c r="AU106" s="275"/>
      <c r="AV106" s="212"/>
      <c r="AW106" s="212"/>
      <c r="AX106" s="209"/>
      <c r="AY106" s="1"/>
      <c r="AZ106" s="204"/>
      <c r="BA106" s="197"/>
      <c r="BB106" s="210"/>
      <c r="BC106" s="1"/>
      <c r="BD106" s="197"/>
      <c r="BE106" s="197"/>
      <c r="BF106" s="197"/>
      <c r="BG106" s="1"/>
      <c r="BH106" s="197"/>
      <c r="BI106" s="197"/>
      <c r="BJ106" s="211"/>
      <c r="BK106" s="1"/>
    </row>
    <row r="107" spans="1:63" ht="18.75" x14ac:dyDescent="0.25">
      <c r="A107" s="196"/>
      <c r="B107" s="116"/>
      <c r="C107" s="2"/>
      <c r="D107" s="2"/>
      <c r="E107" s="5"/>
      <c r="F107" s="9"/>
      <c r="G107" s="1"/>
      <c r="H107" s="1"/>
      <c r="I107" s="307"/>
      <c r="J107" s="1"/>
      <c r="K107" s="185"/>
      <c r="L107" s="226"/>
      <c r="M107" s="278"/>
      <c r="N107" s="97"/>
      <c r="O107" s="1"/>
      <c r="P107" s="3"/>
      <c r="Q107" s="1"/>
      <c r="R107" s="267"/>
      <c r="S107" s="241"/>
      <c r="T107" s="295"/>
      <c r="U107" s="1"/>
      <c r="V107" s="1"/>
      <c r="W107" s="1"/>
      <c r="X107" s="285"/>
      <c r="Y107" s="269"/>
      <c r="Z107" s="1"/>
      <c r="AA107" s="2"/>
      <c r="AB107" s="2"/>
      <c r="AC107" s="2"/>
      <c r="AD107" s="2"/>
      <c r="AE107" s="7"/>
      <c r="AF107" s="18"/>
      <c r="AG107" s="7"/>
      <c r="AH107" s="2"/>
      <c r="AI107" s="1"/>
      <c r="AJ107" s="204"/>
      <c r="AK107" s="1"/>
      <c r="AL107" s="197"/>
      <c r="AM107" s="1"/>
      <c r="AN107" s="205"/>
      <c r="AO107" s="1"/>
      <c r="AP107" s="206"/>
      <c r="AQ107" s="1"/>
      <c r="AR107" s="207"/>
      <c r="AS107" s="207"/>
      <c r="AT107" s="207"/>
      <c r="AU107" s="275"/>
      <c r="AV107" s="212"/>
      <c r="AW107" s="212"/>
      <c r="AX107" s="209"/>
      <c r="AY107" s="1"/>
      <c r="AZ107" s="204"/>
      <c r="BA107" s="197"/>
      <c r="BB107" s="210"/>
      <c r="BC107" s="1"/>
      <c r="BD107" s="197"/>
      <c r="BE107" s="197"/>
      <c r="BF107" s="197"/>
      <c r="BG107" s="1"/>
      <c r="BH107" s="197"/>
      <c r="BI107" s="197"/>
      <c r="BJ107" s="211"/>
      <c r="BK107" s="1"/>
    </row>
    <row r="108" spans="1:63" ht="18.75" x14ac:dyDescent="0.25">
      <c r="A108" s="196" t="s">
        <v>30</v>
      </c>
      <c r="B108" s="2"/>
      <c r="C108" s="2"/>
      <c r="D108" s="2"/>
      <c r="E108" s="5"/>
      <c r="F108" s="5"/>
      <c r="G108" s="1"/>
      <c r="H108" s="1"/>
      <c r="I108" s="307"/>
      <c r="J108" s="1"/>
      <c r="K108" s="210"/>
      <c r="L108" s="210"/>
      <c r="M108" s="4"/>
      <c r="N108" s="97"/>
      <c r="O108" s="1"/>
      <c r="P108" s="3"/>
      <c r="Q108" s="1"/>
      <c r="R108" s="267" t="s">
        <v>0</v>
      </c>
      <c r="S108" s="241"/>
      <c r="T108" s="295"/>
      <c r="U108" s="1"/>
      <c r="V108" s="1"/>
      <c r="W108" s="1"/>
      <c r="X108" s="285"/>
      <c r="Y108" s="269"/>
      <c r="Z108" s="1"/>
      <c r="AA108" s="2"/>
      <c r="AB108" s="2"/>
      <c r="AC108" s="2"/>
      <c r="AD108" s="2"/>
      <c r="AE108" s="7"/>
      <c r="AF108" s="18"/>
      <c r="AG108" s="7"/>
      <c r="AH108" s="2"/>
      <c r="AI108" s="1"/>
      <c r="AJ108" s="204"/>
      <c r="AK108" s="1"/>
      <c r="AL108" s="189"/>
      <c r="AM108" s="1"/>
      <c r="AN108" s="205"/>
      <c r="AO108" s="1"/>
      <c r="AP108" s="206"/>
      <c r="AQ108" s="1"/>
      <c r="AR108" s="207"/>
      <c r="AS108" s="207"/>
      <c r="AT108" s="207"/>
      <c r="AU108" s="275"/>
      <c r="AV108" s="212"/>
      <c r="AW108" s="212"/>
      <c r="AX108" s="209"/>
      <c r="AY108" s="1"/>
      <c r="AZ108" s="204"/>
      <c r="BA108" s="197"/>
      <c r="BB108" s="210"/>
      <c r="BC108" s="1"/>
      <c r="BD108" s="197"/>
      <c r="BE108" s="197"/>
      <c r="BF108" s="197"/>
      <c r="BG108" s="1"/>
      <c r="BH108" s="197"/>
      <c r="BI108" s="197"/>
      <c r="BJ108" s="211"/>
      <c r="BK108" s="1"/>
    </row>
    <row r="109" spans="1:63" ht="15.75" x14ac:dyDescent="0.25">
      <c r="A109" s="180" t="s">
        <v>29</v>
      </c>
      <c r="B109" s="252">
        <f t="shared" ref="B109:B115" si="134">+H109+J109+O109+Q109+V109+Z109+AI109+AK109+AM109+AO109+AQ109+AY109+BA109+BC109+BG109+BK109</f>
        <v>110</v>
      </c>
      <c r="C109" s="253">
        <f>RANK(B109,$B$109:$B$115)</f>
        <v>6</v>
      </c>
      <c r="D109" s="260">
        <f>'Lodge Rank by District'!E79</f>
        <v>74</v>
      </c>
      <c r="E109" s="9" t="str">
        <f>'Active &amp; Renewals'!C5</f>
        <v>233</v>
      </c>
      <c r="F109" s="9" t="str">
        <f>'Active &amp; Renewals'!D5</f>
        <v>249</v>
      </c>
      <c r="G109" s="2">
        <f t="shared" ref="G109:G115" si="135">+F109-E109</f>
        <v>16</v>
      </c>
      <c r="H109" s="252" cm="1">
        <f t="array" ref="H109">_xlfn.IFS(G109&gt;20,11,G109&gt;11,10,G109&gt;2,9,G109&gt;0,8,G109&gt;-6,7,G109&gt;-11,6,G109&gt;-16,5,G109&gt;-21,4,G109&gt;-26,3,G109&gt;-31,2,G109&gt;-36,1,TRUE,0)</f>
        <v>10</v>
      </c>
      <c r="I109" s="113" t="str">
        <f>'Active &amp; Renewals'!E5</f>
        <v>90.13</v>
      </c>
      <c r="J109" s="252" cm="1">
        <f t="array" ref="J109">_xlfn.IFS(VALUE(I109)&gt;=90.5,11,VALUE(I109)&gt;=85.5,10,VALUE(I109)&gt;=80.5,9,VALUE(I109)&gt;=75.5,8,VALUE(I109)&gt;=74.5,7,VALUE(I109)&gt;=70.5,6,VALUE(I109)&gt;=64.5,5,VALUE(I109)&gt;=60.5,4,VALUE(I109)&gt;=54.5,3,VALUE(I109)&gt;=50.5,2,VALUE(I109)&gt;=44.5,1,TRUE,0)</f>
        <v>10</v>
      </c>
      <c r="K109" s="195">
        <v>686</v>
      </c>
      <c r="L109" s="195">
        <f>Donations!B4</f>
        <v>501</v>
      </c>
      <c r="M109" s="267">
        <f t="shared" ref="M109:M115" si="136">+L109-K109</f>
        <v>-185</v>
      </c>
      <c r="N109" s="268">
        <f t="shared" ref="N109:N115" si="137">+L109/K109</f>
        <v>0.73032069970845481</v>
      </c>
      <c r="O109" s="252" cm="1">
        <f t="array" ref="O109">_xlfn.IFS(N109&gt;=115.5%,11,N109&gt;=110.5%,10,N109&gt;=100.5%,9,N109&gt;=99.5%,8,N109&gt;=89.5%,7,N109&gt;=75.5%,6,N109&gt;=60.5%,5,N109&gt;=45.5%,4,N109&gt;=30.5%,3,N109&gt;=15.5%,2,N109&gt;=0.5%,1,TRUE,0)</f>
        <v>5</v>
      </c>
      <c r="P109" s="12">
        <f t="shared" ref="P109:P115" si="138">+L109/E109</f>
        <v>2.1502145922746783</v>
      </c>
      <c r="Q109" s="252" cm="1">
        <f t="array" ref="Q109">_xlfn.IFS(P109&gt;10,11,P109&gt;=8.01,10,P109&gt;=6.01,9,P109&gt;=4.01,8,P109=4,7,P109&gt;=3.01,6,P109&gt;=2.01,5,P109&gt;=1.51,4,P109&gt;=1.01,3,P109&gt;=0.51,2,P109&gt;=0.01,1,TRUE,0)</f>
        <v>5</v>
      </c>
      <c r="R109" s="269">
        <v>699</v>
      </c>
      <c r="S109" s="184">
        <f>Donations!C4</f>
        <v>125</v>
      </c>
      <c r="T109" s="279">
        <f t="shared" ref="T109:T115" si="139">+S109/(R109/3)</f>
        <v>0.53648068669527893</v>
      </c>
      <c r="U109" s="10">
        <f t="shared" ref="U109:U115" si="140">+S109-R109</f>
        <v>-574</v>
      </c>
      <c r="V109" s="252" cm="1">
        <f t="array" ref="V109">_xlfn.IFS(T109&gt;=120%,11,T109&gt;=110.5%,10,T109&gt;=100.5%,9,T109&gt;99.9%,8,T109&gt;=85.5%,7,T109&gt;=72.5%,6,T109&gt;=65.5%,5,T109&gt;=55.5%,4,T109&gt;=45.5%,3,T109&gt;=35.5%,2,T109&gt;=20.5%,1,TRUE,0)</f>
        <v>3</v>
      </c>
      <c r="W109" s="269">
        <f t="shared" ref="W109:W115" si="141">E109*0.15</f>
        <v>34.949999999999996</v>
      </c>
      <c r="X109" s="184">
        <f>Donations!D4</f>
        <v>100</v>
      </c>
      <c r="Y109" s="269">
        <f t="shared" ref="Y109:Y115" si="142">+X109/E109</f>
        <v>0.42918454935622319</v>
      </c>
      <c r="Z109" s="252" cm="1">
        <f t="array" ref="Z109">_xlfn.IFS(Y109&gt;=0.26,11,Y109&gt;=0.21,10,Y109&gt;=0.16,9,Y109=0.15,8,Y109=0.14,7,Y109=0.13,6,Y109&gt;=0.11,5,Y109&gt;=0.09,4,Y109&gt;=0.07,3,Y109&gt;=0.04,2,Y109&gt;=0.01,1,TRUE,0)</f>
        <v>11</v>
      </c>
      <c r="AA109" s="294" t="str">
        <f>'Active &amp; Renewals'!F5</f>
        <v>EXCELLENT</v>
      </c>
      <c r="AB109" s="281" cm="1">
        <f t="array" ref="AB109">_xlfn.IFS(AA109="SUPERIOR",11,AA109="EXCELLENT",9,AA109="GOOD",7,AA109="LATE",5,AA109="NO GRADE",3,AA109="NA",2,AA109="NO REPORT",0)</f>
        <v>9</v>
      </c>
      <c r="AC109" s="294" t="str">
        <f>'Active &amp; Renewals'!H5</f>
        <v>EXCELLENT</v>
      </c>
      <c r="AD109" s="281" cm="1">
        <f t="array" ref="AD109">_xlfn.IFS(AC109="SUPERIOR",11,AC109="EXCELLENT",9,AC109="GOOD",7,AC109="LATE",5,AC109="NO GRADE",3,AC109="NA",2,AC109="NO REPORT",0)</f>
        <v>9</v>
      </c>
      <c r="AE109" s="284" t="str">
        <f>'Active &amp; Renewals'!J5</f>
        <v>NO REPORT</v>
      </c>
      <c r="AF109" s="281" cm="1">
        <f t="array" ref="AF109">_xlfn.IFS(AE109="SUPERIOR",11,AE109="EXCELLENT",9,AE109="GOOD",7,AE109="LATE",5,AE109="NO GRADE",3,AE109="NA",2,AE109="NO REPORT",0)</f>
        <v>0</v>
      </c>
      <c r="AG109" s="284" t="str">
        <f>'Active &amp; Renewals'!L5</f>
        <v>NO REPORT</v>
      </c>
      <c r="AH109" s="281" cm="1">
        <f t="array" ref="AH109">_xlfn.IFS(AG109="SUPERIOR",11,AG109="EXCELLENT",9,AG109="GOOD",7,AG109="LATE",5,AG109="NO GRADE",3,AG109="NA",2,AG109="NO REPORT",0)</f>
        <v>0</v>
      </c>
      <c r="AI109" s="252">
        <f t="shared" ref="AI109:AI115" si="143">SUM(AB109+AD109+AF109+AH109)</f>
        <v>18</v>
      </c>
      <c r="AJ109" s="188" t="s">
        <v>656</v>
      </c>
      <c r="AK109" s="252" cm="1">
        <f t="array" ref="AK109">_xlfn.IFS(AJ109="8/8",11,AJ109="7/8",7,AJ109="6/8",6,AJ109="5/8",5,AJ109="4/8",4,AJ109="3/8",3,AJ109="2/8",2,AJ109="1/8",1,AJ109="0/8",0,TRUE,0)</f>
        <v>7</v>
      </c>
      <c r="AL109" s="189">
        <v>1</v>
      </c>
      <c r="AM109" s="300" cm="1">
        <f t="array" ref="AM109">_xlfn.IFS(AL109&gt;6,11,AL109&gt;=4,10,AL109&gt;=2,9,AL109=1,8,TRUE,0)</f>
        <v>8</v>
      </c>
      <c r="AN109" s="184">
        <f>Donations!E4</f>
        <v>100</v>
      </c>
      <c r="AO109" s="300" cm="1">
        <f t="array" ref="AO109">_xlfn.IFS(AN109&gt;125,11,AN109&gt;=116,10,AN109&gt;=101,9,AN109=100,8,AN109&gt;=86,7,AN109&gt;=71,6,AN109&gt;=61,5,AN109&gt;=51,4,AN109&gt;=41,3,AN109&gt;=26,2,AN109&gt;=1,1,TRUE,0)</f>
        <v>8</v>
      </c>
      <c r="AP109" s="184">
        <f>Donations!F4</f>
        <v>125</v>
      </c>
      <c r="AQ109" s="300" cm="1">
        <f t="array" ref="AQ109">_xlfn.IFS(AP109&gt;600,11,AP109&gt;=551,10,AP109&gt;=501,9,AP109=500,8,AP109&gt;=326,7,AP109&gt;=251,6,AP109&gt;=201,5,AP109&gt;=151,4,AP109&gt;=101,3,AP109&gt;=76,2,AP109&gt;=1,1,TRUE,0)</f>
        <v>3</v>
      </c>
      <c r="AR109" s="349">
        <v>1</v>
      </c>
      <c r="AS109" s="349">
        <v>3</v>
      </c>
      <c r="AT109" s="349">
        <v>0</v>
      </c>
      <c r="AU109" s="352">
        <f t="shared" ref="AU109" si="144">+AR109+AS109+AT109</f>
        <v>4</v>
      </c>
      <c r="AV109" s="191">
        <v>0</v>
      </c>
      <c r="AW109" s="191">
        <v>4</v>
      </c>
      <c r="AX109" s="187">
        <v>0</v>
      </c>
      <c r="AY109" s="252">
        <f t="shared" ref="AY109:AY115" si="145">+AV109+AW109+AX109</f>
        <v>4</v>
      </c>
      <c r="AZ109" s="192"/>
      <c r="BA109" s="181"/>
      <c r="BB109" s="193">
        <v>0</v>
      </c>
      <c r="BC109" s="252" cm="1">
        <f t="array" ref="BC109">_xlfn.IFS(BB109=0,11,TRUE,0)</f>
        <v>11</v>
      </c>
      <c r="BD109" s="183">
        <v>0</v>
      </c>
      <c r="BE109" s="183">
        <v>4</v>
      </c>
      <c r="BF109" s="183">
        <v>0</v>
      </c>
      <c r="BG109" s="252">
        <f t="shared" ref="BG109:BG115" si="146">SUM(BD109+BE109+BF109)</f>
        <v>4</v>
      </c>
      <c r="BH109" s="183">
        <v>0</v>
      </c>
      <c r="BI109" s="183">
        <v>3</v>
      </c>
      <c r="BJ109" s="183">
        <v>0</v>
      </c>
      <c r="BK109" s="252">
        <f t="shared" ref="BK109:BK115" si="147">SUM(BH109+BI109+BJ109)</f>
        <v>3</v>
      </c>
    </row>
    <row r="110" spans="1:63" ht="15.75" x14ac:dyDescent="0.25">
      <c r="A110" s="180" t="s">
        <v>28</v>
      </c>
      <c r="B110" s="252">
        <f t="shared" si="134"/>
        <v>125</v>
      </c>
      <c r="C110" s="253">
        <f t="shared" ref="C110:C115" si="148">RANK(B110,$B$109:$B$115)</f>
        <v>4</v>
      </c>
      <c r="D110" s="260">
        <f>'Lodge Rank by District'!E80</f>
        <v>54</v>
      </c>
      <c r="E110" s="9" t="str">
        <f>'Active &amp; Renewals'!C7</f>
        <v>701</v>
      </c>
      <c r="F110" s="9" t="str">
        <f>'Active &amp; Renewals'!D7</f>
        <v>824</v>
      </c>
      <c r="G110" s="2">
        <f t="shared" si="135"/>
        <v>123</v>
      </c>
      <c r="H110" s="252" cm="1">
        <f t="array" ref="H110">_xlfn.IFS(G110&gt;20,11,G110&gt;11,10,G110&gt;2,9,G110&gt;0,8,G110&gt;-6,7,G110&gt;-11,6,G110&gt;-16,5,G110&gt;-21,4,G110&gt;-26,3,G110&gt;-31,2,G110&gt;-36,1,TRUE,0)</f>
        <v>11</v>
      </c>
      <c r="I110" s="113" t="str">
        <f>'Active &amp; Renewals'!E7</f>
        <v>85.73</v>
      </c>
      <c r="J110" s="252" cm="1">
        <f t="array" ref="J110">_xlfn.IFS(VALUE(I110)&gt;=90.5,11,VALUE(I110)&gt;=85.5,10,VALUE(I110)&gt;=80.5,9,VALUE(I110)&gt;=75.5,8,VALUE(I110)&gt;=74.5,7,VALUE(I110)&gt;=70.5,6,VALUE(I110)&gt;=64.5,5,VALUE(I110)&gt;=60.5,4,VALUE(I110)&gt;=54.5,3,VALUE(I110)&gt;=50.5,2,VALUE(I110)&gt;=44.5,1,TRUE,0)</f>
        <v>10</v>
      </c>
      <c r="K110" s="195">
        <v>1640</v>
      </c>
      <c r="L110" s="195">
        <f>Donations!B69</f>
        <v>2399.2199999999998</v>
      </c>
      <c r="M110" s="267">
        <f t="shared" si="136"/>
        <v>759.2199999999998</v>
      </c>
      <c r="N110" s="268">
        <f t="shared" si="137"/>
        <v>1.4629390243902438</v>
      </c>
      <c r="O110" s="252" cm="1">
        <f t="array" ref="O110">_xlfn.IFS(N110&gt;=115.5%,11,N110&gt;=110.5%,10,N110&gt;=100.5%,9,N110&gt;=99.5%,8,N110&gt;=89.5%,7,N110&gt;=75.5%,6,N110&gt;=60.5%,5,N110&gt;=45.5%,4,N110&gt;=30.5%,3,N110&gt;=15.5%,2,N110&gt;=0.5%,1,TRUE,0)</f>
        <v>11</v>
      </c>
      <c r="P110" s="12">
        <f t="shared" si="138"/>
        <v>3.4225677603423676</v>
      </c>
      <c r="Q110" s="252" cm="1">
        <f t="array" ref="Q110">_xlfn.IFS(P110&gt;10,11,P110&gt;=8.01,10,P110&gt;=6.01,9,P110&gt;=4.01,8,P110=4,7,P110&gt;=3.01,6,P110&gt;=2.01,5,P110&gt;=1.51,4,P110&gt;=1.01,3,P110&gt;=0.51,2,P110&gt;=0.01,1,TRUE,0)</f>
        <v>6</v>
      </c>
      <c r="R110" s="269">
        <v>2103</v>
      </c>
      <c r="S110" s="184">
        <f>Donations!C69</f>
        <v>701</v>
      </c>
      <c r="T110" s="279">
        <f t="shared" si="139"/>
        <v>1</v>
      </c>
      <c r="U110" s="10">
        <f t="shared" si="140"/>
        <v>-1402</v>
      </c>
      <c r="V110" s="252" cm="1">
        <f t="array" ref="V110">_xlfn.IFS(T110&gt;=120%,11,T110&gt;=110.5%,10,T110&gt;=100.5%,9,T110&gt;99.9%,8,T110&gt;=85.5%,7,T110&gt;=72.5%,6,T110&gt;=65.5%,5,T110&gt;=55.5%,4,T110&gt;=45.5%,3,T110&gt;=35.5%,2,T110&gt;=20.5%,1,TRUE,0)</f>
        <v>8</v>
      </c>
      <c r="W110" s="269">
        <f t="shared" si="141"/>
        <v>105.14999999999999</v>
      </c>
      <c r="X110" s="184">
        <f>Donations!D69</f>
        <v>105.15</v>
      </c>
      <c r="Y110" s="269">
        <f t="shared" si="142"/>
        <v>0.15</v>
      </c>
      <c r="Z110" s="252" cm="1">
        <f t="array" ref="Z110">_xlfn.IFS(Y110&gt;=0.26,11,Y110&gt;=0.21,10,Y110&gt;=0.16,9,Y110=0.15,8,Y110=0.14,7,Y110=0.13,6,Y110&gt;=0.11,5,Y110&gt;=0.09,4,Y110&gt;=0.07,3,Y110&gt;=0.04,2,Y110&gt;=0.01,1,TRUE,0)</f>
        <v>8</v>
      </c>
      <c r="AA110" s="294" t="str">
        <f>'Active &amp; Renewals'!F7</f>
        <v>SUPERIOR</v>
      </c>
      <c r="AB110" s="281" cm="1">
        <f t="array" ref="AB110">_xlfn.IFS(AA110="SUPERIOR",11,AA110="EXCELLENT",9,AA110="GOOD",7,AA110="LATE",5,AA110="NO GRADE",3,AA110="NA",2,AA110="NO REPORT",0)</f>
        <v>11</v>
      </c>
      <c r="AC110" s="294" t="str">
        <f>'Active &amp; Renewals'!H7</f>
        <v>SUPERIOR</v>
      </c>
      <c r="AD110" s="281" cm="1">
        <f t="array" ref="AD110">_xlfn.IFS(AC110="SUPERIOR",11,AC110="EXCELLENT",9,AC110="GOOD",7,AC110="LATE",5,AC110="NO GRADE",3,AC110="NA",2,AC110="NO REPORT",0)</f>
        <v>11</v>
      </c>
      <c r="AE110" s="284" t="str">
        <f>'Active &amp; Renewals'!J7</f>
        <v>NO REPORT</v>
      </c>
      <c r="AF110" s="281" cm="1">
        <f t="array" ref="AF110">_xlfn.IFS(AE110="SUPERIOR",11,AE110="EXCELLENT",9,AE110="GOOD",7,AE110="LATE",5,AE110="NO GRADE",3,AE110="NA",2,AE110="NO REPORT",0)</f>
        <v>0</v>
      </c>
      <c r="AG110" s="284" t="str">
        <f>'Active &amp; Renewals'!L7</f>
        <v>NO REPORT</v>
      </c>
      <c r="AH110" s="281" cm="1">
        <f t="array" ref="AH110">_xlfn.IFS(AG110="SUPERIOR",11,AG110="EXCELLENT",9,AG110="GOOD",7,AG110="LATE",5,AG110="NO GRADE",3,AG110="NA",2,AG110="NO REPORT",0)</f>
        <v>0</v>
      </c>
      <c r="AI110" s="252">
        <f t="shared" si="143"/>
        <v>22</v>
      </c>
      <c r="AJ110" s="188" t="s">
        <v>655</v>
      </c>
      <c r="AK110" s="252" cm="1">
        <f t="array" ref="AK110">_xlfn.IFS(AJ110="8/8",11,AJ110="7/8",7,AJ110="6/8",6,AJ110="5/8",5,AJ110="4/8",4,AJ110="3/8",3,AJ110="2/8",2,AJ110="1/8",1,AJ110="0/8",0,TRUE,0)</f>
        <v>11</v>
      </c>
      <c r="AL110" s="189">
        <v>2</v>
      </c>
      <c r="AM110" s="300" cm="1">
        <f t="array" ref="AM110">_xlfn.IFS(AL110&gt;6,11,AL110&gt;=4,10,AL110&gt;=2,9,AL110=1,8,TRUE,0)</f>
        <v>9</v>
      </c>
      <c r="AN110" s="184">
        <f>Donations!E69</f>
        <v>100</v>
      </c>
      <c r="AO110" s="300" cm="1">
        <f t="array" ref="AO110">_xlfn.IFS(AN110&gt;125,11,AN110&gt;=116,10,AN110&gt;=101,9,AN110=100,8,AN110&gt;=86,7,AN110&gt;=71,6,AN110&gt;=61,5,AN110&gt;=51,4,AN110&gt;=41,3,AN110&gt;=26,2,AN110&gt;=1,1,TRUE,0)</f>
        <v>8</v>
      </c>
      <c r="AP110" s="184">
        <f>Donations!F69</f>
        <v>50</v>
      </c>
      <c r="AQ110" s="300" cm="1">
        <f t="array" ref="AQ110">_xlfn.IFS(AP110&gt;600,11,AP110&gt;=551,10,AP110&gt;=501,9,AP110=500,8,AP110&gt;=326,7,AP110&gt;=251,6,AP110&gt;=201,5,AP110&gt;=151,4,AP110&gt;=101,3,AP110&gt;=76,2,AP110&gt;=1,1,TRUE,0)</f>
        <v>1</v>
      </c>
      <c r="AR110" s="350"/>
      <c r="AS110" s="350"/>
      <c r="AT110" s="350"/>
      <c r="AU110" s="353"/>
      <c r="AV110" s="191">
        <v>3</v>
      </c>
      <c r="AW110" s="191">
        <v>1</v>
      </c>
      <c r="AX110" s="187">
        <v>2</v>
      </c>
      <c r="AY110" s="252">
        <f t="shared" si="145"/>
        <v>6</v>
      </c>
      <c r="AZ110" s="192"/>
      <c r="BA110" s="181"/>
      <c r="BB110" s="193">
        <v>0</v>
      </c>
      <c r="BC110" s="252" cm="1">
        <f t="array" ref="BC110">_xlfn.IFS(BB110=0,11,TRUE,0)</f>
        <v>11</v>
      </c>
      <c r="BD110" s="183">
        <v>0</v>
      </c>
      <c r="BE110" s="183">
        <v>0</v>
      </c>
      <c r="BF110" s="183">
        <v>2</v>
      </c>
      <c r="BG110" s="252">
        <f t="shared" si="146"/>
        <v>2</v>
      </c>
      <c r="BH110" s="183">
        <v>0</v>
      </c>
      <c r="BI110" s="183">
        <v>0</v>
      </c>
      <c r="BJ110" s="183">
        <v>1</v>
      </c>
      <c r="BK110" s="252">
        <f t="shared" si="147"/>
        <v>1</v>
      </c>
    </row>
    <row r="111" spans="1:63" ht="15.75" x14ac:dyDescent="0.25">
      <c r="A111" s="180" t="s">
        <v>27</v>
      </c>
      <c r="B111" s="252">
        <f t="shared" si="134"/>
        <v>131</v>
      </c>
      <c r="C111" s="253">
        <f t="shared" si="148"/>
        <v>3</v>
      </c>
      <c r="D111" s="260">
        <f>'Lodge Rank by District'!E81</f>
        <v>46</v>
      </c>
      <c r="E111" s="9" t="str">
        <f>'Active &amp; Renewals'!C22</f>
        <v>484</v>
      </c>
      <c r="F111" s="9" t="str">
        <f>'Active &amp; Renewals'!D22</f>
        <v>486</v>
      </c>
      <c r="G111" s="2">
        <f t="shared" si="135"/>
        <v>2</v>
      </c>
      <c r="H111" s="252" cm="1">
        <f t="array" ref="H111">_xlfn.IFS(G111&gt;20,11,G111&gt;11,10,G111&gt;2,9,G111&gt;0,8,G111&gt;-6,7,G111&gt;-11,6,G111&gt;-16,5,G111&gt;-21,4,G111&gt;-26,3,G111&gt;-31,2,G111&gt;-36,1,TRUE,0)</f>
        <v>8</v>
      </c>
      <c r="I111" s="113" t="str">
        <f>'Active &amp; Renewals'!E22</f>
        <v>79.55</v>
      </c>
      <c r="J111" s="252" cm="1">
        <f t="array" ref="J111">_xlfn.IFS(VALUE(I111)&gt;=90.5,11,VALUE(I111)&gt;=85.5,10,VALUE(I111)&gt;=80.5,9,VALUE(I111)&gt;=75.5,8,VALUE(I111)&gt;=74.5,7,VALUE(I111)&gt;=70.5,6,VALUE(I111)&gt;=64.5,5,VALUE(I111)&gt;=60.5,4,VALUE(I111)&gt;=54.5,3,VALUE(I111)&gt;=50.5,2,VALUE(I111)&gt;=44.5,1,TRUE,0)</f>
        <v>8</v>
      </c>
      <c r="K111" s="195">
        <v>2604.33</v>
      </c>
      <c r="L111" s="195">
        <f>Donations!B51</f>
        <v>2509</v>
      </c>
      <c r="M111" s="267">
        <f t="shared" si="136"/>
        <v>-95.329999999999927</v>
      </c>
      <c r="N111" s="268">
        <f t="shared" si="137"/>
        <v>0.96339557582948399</v>
      </c>
      <c r="O111" s="252" cm="1">
        <f t="array" ref="O111">_xlfn.IFS(N111&gt;=115.5%,11,N111&gt;=110.5%,10,N111&gt;=100.5%,9,N111&gt;=99.5%,8,N111&gt;=89.5%,7,N111&gt;=75.5%,6,N111&gt;=60.5%,5,N111&gt;=45.5%,4,N111&gt;=30.5%,3,N111&gt;=15.5%,2,N111&gt;=0.5%,1,TRUE,0)</f>
        <v>7</v>
      </c>
      <c r="P111" s="12">
        <f t="shared" si="138"/>
        <v>5.1838842975206614</v>
      </c>
      <c r="Q111" s="252" cm="1">
        <f t="array" ref="Q111">_xlfn.IFS(P111&gt;10,11,P111&gt;=8.01,10,P111&gt;=6.01,9,P111&gt;=4.01,8,P111=4,7,P111&gt;=3.01,6,P111&gt;=2.01,5,P111&gt;=1.51,4,P111&gt;=1.01,3,P111&gt;=0.51,2,P111&gt;=0.01,1,TRUE,0)</f>
        <v>8</v>
      </c>
      <c r="R111" s="269">
        <v>1452</v>
      </c>
      <c r="S111" s="184">
        <f>Donations!C51</f>
        <v>2800</v>
      </c>
      <c r="T111" s="279">
        <f t="shared" si="139"/>
        <v>5.785123966942149</v>
      </c>
      <c r="U111" s="10">
        <f t="shared" si="140"/>
        <v>1348</v>
      </c>
      <c r="V111" s="252" cm="1">
        <f t="array" ref="V111">_xlfn.IFS(T111&gt;=120%,11,T111&gt;=110.5%,10,T111&gt;=100.5%,9,T111&gt;99.9%,8,T111&gt;=85.5%,7,T111&gt;=72.5%,6,T111&gt;=65.5%,5,T111&gt;=55.5%,4,T111&gt;=45.5%,3,T111&gt;=35.5%,2,T111&gt;=20.5%,1,TRUE,0)</f>
        <v>11</v>
      </c>
      <c r="W111" s="269">
        <f t="shared" si="141"/>
        <v>72.599999999999994</v>
      </c>
      <c r="X111" s="184">
        <f>Donations!D51</f>
        <v>2000</v>
      </c>
      <c r="Y111" s="269">
        <f t="shared" si="142"/>
        <v>4.1322314049586772</v>
      </c>
      <c r="Z111" s="252" cm="1">
        <f t="array" ref="Z111">_xlfn.IFS(Y111&gt;=0.26,11,Y111&gt;=0.21,10,Y111&gt;=0.16,9,Y111=0.15,8,Y111=0.14,7,Y111=0.13,6,Y111&gt;=0.11,5,Y111&gt;=0.09,4,Y111&gt;=0.07,3,Y111&gt;=0.04,2,Y111&gt;=0.01,1,TRUE,0)</f>
        <v>11</v>
      </c>
      <c r="AA111" s="294" t="str">
        <f>'Active &amp; Renewals'!F22</f>
        <v>SUPERIOR</v>
      </c>
      <c r="AB111" s="281" cm="1">
        <f t="array" ref="AB111">_xlfn.IFS(AA111="SUPERIOR",11,AA111="EXCELLENT",9,AA111="GOOD",7,AA111="LATE",5,AA111="NO GRADE",3,AA111="NA",2,AA111="NO REPORT",0)</f>
        <v>11</v>
      </c>
      <c r="AC111" s="294" t="str">
        <f>'Active &amp; Renewals'!H22</f>
        <v>EXCELLENT</v>
      </c>
      <c r="AD111" s="281" cm="1">
        <f t="array" ref="AD111">_xlfn.IFS(AC111="SUPERIOR",11,AC111="EXCELLENT",9,AC111="GOOD",7,AC111="LATE",5,AC111="NO GRADE",3,AC111="NA",2,AC111="NO REPORT",0)</f>
        <v>9</v>
      </c>
      <c r="AE111" s="284" t="str">
        <f>'Active &amp; Renewals'!J22</f>
        <v>NO REPORT</v>
      </c>
      <c r="AF111" s="281" cm="1">
        <f t="array" ref="AF111">_xlfn.IFS(AE111="SUPERIOR",11,AE111="EXCELLENT",9,AE111="GOOD",7,AE111="LATE",5,AE111="NO GRADE",3,AE111="NA",2,AE111="NO REPORT",0)</f>
        <v>0</v>
      </c>
      <c r="AG111" s="284" t="str">
        <f>'Active &amp; Renewals'!L22</f>
        <v>NO REPORT</v>
      </c>
      <c r="AH111" s="281" cm="1">
        <f t="array" ref="AH111">_xlfn.IFS(AG111="SUPERIOR",11,AG111="EXCELLENT",9,AG111="GOOD",7,AG111="LATE",5,AG111="NO GRADE",3,AG111="NA",2,AG111="NO REPORT",0)</f>
        <v>0</v>
      </c>
      <c r="AI111" s="252">
        <f t="shared" si="143"/>
        <v>20</v>
      </c>
      <c r="AJ111" s="188" t="s">
        <v>656</v>
      </c>
      <c r="AK111" s="252" cm="1">
        <f t="array" ref="AK111">_xlfn.IFS(AJ111="8/8",11,AJ111="7/8",7,AJ111="6/8",6,AJ111="5/8",5,AJ111="4/8",4,AJ111="3/8",3,AJ111="2/8",2,AJ111="1/8",1,AJ111="0/8",0,TRUE,0)</f>
        <v>7</v>
      </c>
      <c r="AL111" s="189">
        <v>2</v>
      </c>
      <c r="AM111" s="300" cm="1">
        <f t="array" ref="AM111">_xlfn.IFS(AL111&gt;6,11,AL111&gt;=4,10,AL111&gt;=2,9,AL111=1,8,TRUE,0)</f>
        <v>9</v>
      </c>
      <c r="AN111" s="184">
        <f>Donations!E51</f>
        <v>200</v>
      </c>
      <c r="AO111" s="300" cm="1">
        <f t="array" ref="AO111">_xlfn.IFS(AN111&gt;125,11,AN111&gt;=116,10,AN111&gt;=101,9,AN111=100,8,AN111&gt;=86,7,AN111&gt;=71,6,AN111&gt;=61,5,AN111&gt;=51,4,AN111&gt;=41,3,AN111&gt;=26,2,AN111&gt;=1,1,TRUE,0)</f>
        <v>11</v>
      </c>
      <c r="AP111" s="184">
        <f>Donations!F51</f>
        <v>50</v>
      </c>
      <c r="AQ111" s="300" cm="1">
        <f t="array" ref="AQ111">_xlfn.IFS(AP111&gt;600,11,AP111&gt;=551,10,AP111&gt;=501,9,AP111=500,8,AP111&gt;=326,7,AP111&gt;=251,6,AP111&gt;=201,5,AP111&gt;=151,4,AP111&gt;=101,3,AP111&gt;=76,2,AP111&gt;=1,1,TRUE,0)</f>
        <v>1</v>
      </c>
      <c r="AR111" s="350"/>
      <c r="AS111" s="350"/>
      <c r="AT111" s="350"/>
      <c r="AU111" s="353"/>
      <c r="AV111" s="191">
        <v>1</v>
      </c>
      <c r="AW111" s="191">
        <v>4</v>
      </c>
      <c r="AX111" s="187">
        <v>0</v>
      </c>
      <c r="AY111" s="252">
        <f t="shared" si="145"/>
        <v>5</v>
      </c>
      <c r="AZ111" s="192"/>
      <c r="BA111" s="181"/>
      <c r="BB111" s="193">
        <v>0</v>
      </c>
      <c r="BC111" s="252" cm="1">
        <f t="array" ref="BC111">_xlfn.IFS(BB111=0,11,TRUE,0)</f>
        <v>11</v>
      </c>
      <c r="BD111" s="183">
        <v>0</v>
      </c>
      <c r="BE111" s="183">
        <v>4</v>
      </c>
      <c r="BF111" s="183">
        <v>4</v>
      </c>
      <c r="BG111" s="252">
        <f t="shared" si="146"/>
        <v>8</v>
      </c>
      <c r="BH111" s="183">
        <v>0</v>
      </c>
      <c r="BI111" s="183">
        <v>3</v>
      </c>
      <c r="BJ111" s="183">
        <v>3</v>
      </c>
      <c r="BK111" s="252">
        <f t="shared" si="147"/>
        <v>6</v>
      </c>
    </row>
    <row r="112" spans="1:63" ht="15.75" x14ac:dyDescent="0.25">
      <c r="A112" s="180" t="s">
        <v>26</v>
      </c>
      <c r="B112" s="252">
        <f t="shared" si="134"/>
        <v>146</v>
      </c>
      <c r="C112" s="253">
        <f t="shared" si="148"/>
        <v>1</v>
      </c>
      <c r="D112" s="260">
        <f>'Lodge Rank by District'!E82</f>
        <v>24</v>
      </c>
      <c r="E112" s="9" t="str">
        <f>'Active &amp; Renewals'!C32</f>
        <v>1146</v>
      </c>
      <c r="F112" s="9" t="str">
        <f>'Active &amp; Renewals'!D32</f>
        <v>1152</v>
      </c>
      <c r="G112" s="2">
        <f t="shared" si="135"/>
        <v>6</v>
      </c>
      <c r="H112" s="252" cm="1">
        <f t="array" ref="H112">_xlfn.IFS(G112&gt;20,11,G112&gt;11,10,G112&gt;2,9,G112&gt;0,8,G112&gt;-6,7,G112&gt;-11,6,G112&gt;-16,5,G112&gt;-21,4,G112&gt;-26,3,G112&gt;-31,2,G112&gt;-36,1,TRUE,0)</f>
        <v>9</v>
      </c>
      <c r="I112" s="113" t="str">
        <f>'Active &amp; Renewals'!E32</f>
        <v>87.87</v>
      </c>
      <c r="J112" s="252" cm="1">
        <f t="array" ref="J112">_xlfn.IFS(VALUE(I112)&gt;=90.5,11,VALUE(I112)&gt;=85.5,10,VALUE(I112)&gt;=80.5,9,VALUE(I112)&gt;=75.5,8,VALUE(I112)&gt;=74.5,7,VALUE(I112)&gt;=70.5,6,VALUE(I112)&gt;=64.5,5,VALUE(I112)&gt;=60.5,4,VALUE(I112)&gt;=54.5,3,VALUE(I112)&gt;=50.5,2,VALUE(I112)&gt;=44.5,1,TRUE,0)</f>
        <v>10</v>
      </c>
      <c r="K112" s="195">
        <v>6781</v>
      </c>
      <c r="L112" s="195">
        <f>Donations!B46</f>
        <v>6339</v>
      </c>
      <c r="M112" s="267">
        <f t="shared" si="136"/>
        <v>-442</v>
      </c>
      <c r="N112" s="268">
        <f t="shared" si="137"/>
        <v>0.93481787346998968</v>
      </c>
      <c r="O112" s="252" cm="1">
        <f t="array" ref="O112">_xlfn.IFS(N112&gt;=115.5%,11,N112&gt;=110.5%,10,N112&gt;=100.5%,9,N112&gt;=99.5%,8,N112&gt;=89.5%,7,N112&gt;=75.5%,6,N112&gt;=60.5%,5,N112&gt;=45.5%,4,N112&gt;=30.5%,3,N112&gt;=15.5%,2,N112&gt;=0.5%,1,TRUE,0)</f>
        <v>7</v>
      </c>
      <c r="P112" s="12">
        <f t="shared" si="138"/>
        <v>5.5314136125654452</v>
      </c>
      <c r="Q112" s="252" cm="1">
        <f t="array" ref="Q112">_xlfn.IFS(P112&gt;10,11,P112&gt;=8.01,10,P112&gt;=6.01,9,P112&gt;=4.01,8,P112=4,7,P112&gt;=3.01,6,P112&gt;=2.01,5,P112&gt;=1.51,4,P112&gt;=1.01,3,P112&gt;=0.51,2,P112&gt;=0.01,1,TRUE,0)</f>
        <v>8</v>
      </c>
      <c r="R112" s="269">
        <v>3438</v>
      </c>
      <c r="S112" s="184">
        <f>Donations!C46</f>
        <v>1508.3</v>
      </c>
      <c r="T112" s="279">
        <f t="shared" si="139"/>
        <v>1.3161431064572426</v>
      </c>
      <c r="U112" s="10">
        <f t="shared" si="140"/>
        <v>-1929.7</v>
      </c>
      <c r="V112" s="252" cm="1">
        <f t="array" ref="V112">_xlfn.IFS(T112&gt;=120%,11,T112&gt;=110.5%,10,T112&gt;=100.5%,9,T112&gt;99.9%,8,T112&gt;=85.5%,7,T112&gt;=72.5%,6,T112&gt;=65.5%,5,T112&gt;=55.5%,4,T112&gt;=45.5%,3,T112&gt;=35.5%,2,T112&gt;=20.5%,1,TRUE,0)</f>
        <v>11</v>
      </c>
      <c r="W112" s="269">
        <f t="shared" si="141"/>
        <v>171.9</v>
      </c>
      <c r="X112" s="184">
        <f>Donations!D46</f>
        <v>1200</v>
      </c>
      <c r="Y112" s="269">
        <f t="shared" si="142"/>
        <v>1.0471204188481675</v>
      </c>
      <c r="Z112" s="252" cm="1">
        <f t="array" ref="Z112">_xlfn.IFS(Y112&gt;=0.26,11,Y112&gt;=0.21,10,Y112&gt;=0.16,9,Y112=0.15,8,Y112=0.14,7,Y112=0.13,6,Y112&gt;=0.11,5,Y112&gt;=0.09,4,Y112&gt;=0.07,3,Y112&gt;=0.04,2,Y112&gt;=0.01,1,TRUE,0)</f>
        <v>11</v>
      </c>
      <c r="AA112" s="294" t="str">
        <f>'Active &amp; Renewals'!F32</f>
        <v>SUPERIOR</v>
      </c>
      <c r="AB112" s="281" cm="1">
        <f t="array" ref="AB112">_xlfn.IFS(AA112="SUPERIOR",11,AA112="EXCELLENT",9,AA112="GOOD",7,AA112="LATE",5,AA112="NO GRADE",3,AA112="NA",2,AA112="NO REPORT",0)</f>
        <v>11</v>
      </c>
      <c r="AC112" s="294" t="str">
        <f>'Active &amp; Renewals'!H32</f>
        <v>SUPERIOR</v>
      </c>
      <c r="AD112" s="281" cm="1">
        <f t="array" ref="AD112">_xlfn.IFS(AC112="SUPERIOR",11,AC112="EXCELLENT",9,AC112="GOOD",7,AC112="LATE",5,AC112="NO GRADE",3,AC112="NA",2,AC112="NO REPORT",0)</f>
        <v>11</v>
      </c>
      <c r="AE112" s="284" t="str">
        <f>'Active &amp; Renewals'!J32</f>
        <v>NO REPORT</v>
      </c>
      <c r="AF112" s="281" cm="1">
        <f t="array" ref="AF112">_xlfn.IFS(AE112="SUPERIOR",11,AE112="EXCELLENT",9,AE112="GOOD",7,AE112="LATE",5,AE112="NO GRADE",3,AE112="NA",2,AE112="NO REPORT",0)</f>
        <v>0</v>
      </c>
      <c r="AG112" s="284" t="str">
        <f>'Active &amp; Renewals'!L32</f>
        <v>NO REPORT</v>
      </c>
      <c r="AH112" s="281" cm="1">
        <f t="array" ref="AH112">_xlfn.IFS(AG112="SUPERIOR",11,AG112="EXCELLENT",9,AG112="GOOD",7,AG112="LATE",5,AG112="NO GRADE",3,AG112="NA",2,AG112="NO REPORT",0)</f>
        <v>0</v>
      </c>
      <c r="AI112" s="252">
        <f t="shared" si="143"/>
        <v>22</v>
      </c>
      <c r="AJ112" s="188" t="s">
        <v>653</v>
      </c>
      <c r="AK112" s="252" cm="1">
        <f t="array" ref="AK112">_xlfn.IFS(AJ112="8/8",11,AJ112="7/8",7,AJ112="6/8",6,AJ112="5/8",5,AJ112="4/8",4,AJ112="3/8",3,AJ112="2/8",2,AJ112="1/8",1,AJ112="0/8",0,TRUE,0)</f>
        <v>6</v>
      </c>
      <c r="AL112" s="189">
        <v>3</v>
      </c>
      <c r="AM112" s="300" cm="1">
        <f t="array" ref="AM112">_xlfn.IFS(AL112&gt;6,11,AL112&gt;=4,10,AL112&gt;=2,9,AL112=1,8,TRUE,0)</f>
        <v>9</v>
      </c>
      <c r="AN112" s="184">
        <f>Donations!E46</f>
        <v>125</v>
      </c>
      <c r="AO112" s="300" cm="1">
        <f t="array" ref="AO112">_xlfn.IFS(AN112&gt;125,11,AN112&gt;=116,10,AN112&gt;=101,9,AN112=100,8,AN112&gt;=86,7,AN112&gt;=71,6,AN112&gt;=61,5,AN112&gt;=51,4,AN112&gt;=41,3,AN112&gt;=26,2,AN112&gt;=1,1,TRUE,0)</f>
        <v>10</v>
      </c>
      <c r="AP112" s="184">
        <f>Donations!F46</f>
        <v>750</v>
      </c>
      <c r="AQ112" s="300" cm="1">
        <f t="array" ref="AQ112">_xlfn.IFS(AP112&gt;600,11,AP112&gt;=551,10,AP112&gt;=501,9,AP112=500,8,AP112&gt;=326,7,AP112&gt;=251,6,AP112&gt;=201,5,AP112&gt;=151,4,AP112&gt;=101,3,AP112&gt;=76,2,AP112&gt;=1,1,TRUE,0)</f>
        <v>11</v>
      </c>
      <c r="AR112" s="350"/>
      <c r="AS112" s="350"/>
      <c r="AT112" s="350"/>
      <c r="AU112" s="353"/>
      <c r="AV112" s="191">
        <v>1</v>
      </c>
      <c r="AW112" s="191">
        <v>4</v>
      </c>
      <c r="AX112" s="187">
        <v>4</v>
      </c>
      <c r="AY112" s="252">
        <f t="shared" si="145"/>
        <v>9</v>
      </c>
      <c r="AZ112" s="192"/>
      <c r="BA112" s="181"/>
      <c r="BB112" s="193">
        <v>0</v>
      </c>
      <c r="BC112" s="252" cm="1">
        <f t="array" ref="BC112">_xlfn.IFS(BB112=0,11,TRUE,0)</f>
        <v>11</v>
      </c>
      <c r="BD112" s="183">
        <v>0</v>
      </c>
      <c r="BE112" s="183">
        <v>4</v>
      </c>
      <c r="BF112" s="183">
        <v>4</v>
      </c>
      <c r="BG112" s="252">
        <f t="shared" si="146"/>
        <v>8</v>
      </c>
      <c r="BH112" s="183">
        <v>0</v>
      </c>
      <c r="BI112" s="183">
        <v>2</v>
      </c>
      <c r="BJ112" s="183">
        <v>2</v>
      </c>
      <c r="BK112" s="252">
        <f t="shared" si="147"/>
        <v>4</v>
      </c>
    </row>
    <row r="113" spans="1:63" ht="15.75" x14ac:dyDescent="0.25">
      <c r="A113" s="180" t="s">
        <v>25</v>
      </c>
      <c r="B113" s="252">
        <f t="shared" si="134"/>
        <v>118</v>
      </c>
      <c r="C113" s="253">
        <f t="shared" si="148"/>
        <v>5</v>
      </c>
      <c r="D113" s="260">
        <f>'Lodge Rank by District'!E83</f>
        <v>65</v>
      </c>
      <c r="E113" s="9" t="str">
        <f>'Active &amp; Renewals'!C37</f>
        <v>513</v>
      </c>
      <c r="F113" s="9" t="str">
        <f>'Active &amp; Renewals'!D37</f>
        <v>631</v>
      </c>
      <c r="G113" s="2">
        <f t="shared" si="135"/>
        <v>118</v>
      </c>
      <c r="H113" s="252" cm="1">
        <f t="array" ref="H113">_xlfn.IFS(G113&gt;20,11,G113&gt;11,10,G113&gt;2,9,G113&gt;0,8,G113&gt;-6,7,G113&gt;-11,6,G113&gt;-16,5,G113&gt;-21,4,G113&gt;-26,3,G113&gt;-31,2,G113&gt;-36,1,TRUE,0)</f>
        <v>11</v>
      </c>
      <c r="I113" s="113" t="str">
        <f>'Active &amp; Renewals'!E37</f>
        <v>90.25</v>
      </c>
      <c r="J113" s="252" cm="1">
        <f t="array" ref="J113">_xlfn.IFS(VALUE(I113)&gt;=90.5,11,VALUE(I113)&gt;=85.5,10,VALUE(I113)&gt;=80.5,9,VALUE(I113)&gt;=75.5,8,VALUE(I113)&gt;=74.5,7,VALUE(I113)&gt;=70.5,6,VALUE(I113)&gt;=64.5,5,VALUE(I113)&gt;=60.5,4,VALUE(I113)&gt;=54.5,3,VALUE(I113)&gt;=50.5,2,VALUE(I113)&gt;=44.5,1,TRUE,0)</f>
        <v>10</v>
      </c>
      <c r="K113" s="195">
        <v>700</v>
      </c>
      <c r="L113" s="195">
        <f>Donations!B66</f>
        <v>1300</v>
      </c>
      <c r="M113" s="267">
        <f t="shared" si="136"/>
        <v>600</v>
      </c>
      <c r="N113" s="268">
        <f t="shared" si="137"/>
        <v>1.8571428571428572</v>
      </c>
      <c r="O113" s="252" cm="1">
        <f t="array" ref="O113">_xlfn.IFS(N113&gt;=115.5%,11,N113&gt;=110.5%,10,N113&gt;=100.5%,9,N113&gt;=99.5%,8,N113&gt;=89.5%,7,N113&gt;=75.5%,6,N113&gt;=60.5%,5,N113&gt;=45.5%,4,N113&gt;=30.5%,3,N113&gt;=15.5%,2,N113&gt;=0.5%,1,TRUE,0)</f>
        <v>11</v>
      </c>
      <c r="P113" s="12">
        <f t="shared" si="138"/>
        <v>2.53411306042885</v>
      </c>
      <c r="Q113" s="252" cm="1">
        <f t="array" ref="Q113">_xlfn.IFS(P113&gt;10,11,P113&gt;=8.01,10,P113&gt;=6.01,9,P113&gt;=4.01,8,P113=4,7,P113&gt;=3.01,6,P113&gt;=2.01,5,P113&gt;=1.51,4,P113&gt;=1.01,3,P113&gt;=0.51,2,P113&gt;=0.01,1,TRUE,0)</f>
        <v>5</v>
      </c>
      <c r="R113" s="269">
        <v>1539</v>
      </c>
      <c r="S113" s="184">
        <f>Donations!C66</f>
        <v>1150</v>
      </c>
      <c r="T113" s="279">
        <f t="shared" si="139"/>
        <v>2.2417153996101367</v>
      </c>
      <c r="U113" s="10">
        <f t="shared" si="140"/>
        <v>-389</v>
      </c>
      <c r="V113" s="252" cm="1">
        <f t="array" ref="V113">_xlfn.IFS(T113&gt;=120%,11,T113&gt;=110.5%,10,T113&gt;=100.5%,9,T113&gt;99.9%,8,T113&gt;=85.5%,7,T113&gt;=72.5%,6,T113&gt;=65.5%,5,T113&gt;=55.5%,4,T113&gt;=45.5%,3,T113&gt;=35.5%,2,T113&gt;=20.5%,1,TRUE,0)</f>
        <v>11</v>
      </c>
      <c r="W113" s="269">
        <f t="shared" si="141"/>
        <v>76.95</v>
      </c>
      <c r="X113" s="184">
        <f>Donations!D66</f>
        <v>800</v>
      </c>
      <c r="Y113" s="269">
        <f t="shared" si="142"/>
        <v>1.5594541910331383</v>
      </c>
      <c r="Z113" s="252" cm="1">
        <f t="array" ref="Z113">_xlfn.IFS(Y113&gt;=0.26,11,Y113&gt;=0.21,10,Y113&gt;=0.16,9,Y113=0.15,8,Y113=0.14,7,Y113=0.13,6,Y113&gt;=0.11,5,Y113&gt;=0.09,4,Y113&gt;=0.07,3,Y113&gt;=0.04,2,Y113&gt;=0.01,1,TRUE,0)</f>
        <v>11</v>
      </c>
      <c r="AA113" s="294" t="str">
        <f>'Active &amp; Renewals'!F37</f>
        <v>EXCELLENT</v>
      </c>
      <c r="AB113" s="281" cm="1">
        <f t="array" ref="AB113">_xlfn.IFS(AA113="SUPERIOR",11,AA113="EXCELLENT",9,AA113="GOOD",7,AA113="LATE",5,AA113="NO GRADE",3,AA113="NA",2,AA113="NO REPORT",0)</f>
        <v>9</v>
      </c>
      <c r="AC113" s="294" t="str">
        <f>'Active &amp; Renewals'!H37</f>
        <v>SUPERIOR</v>
      </c>
      <c r="AD113" s="281" cm="1">
        <f t="array" ref="AD113">_xlfn.IFS(AC113="SUPERIOR",11,AC113="EXCELLENT",9,AC113="GOOD",7,AC113="LATE",5,AC113="NO GRADE",3,AC113="NA",2,AC113="NO REPORT",0)</f>
        <v>11</v>
      </c>
      <c r="AE113" s="284" t="str">
        <f>'Active &amp; Renewals'!J37</f>
        <v>NO REPORT</v>
      </c>
      <c r="AF113" s="281" cm="1">
        <f t="array" ref="AF113">_xlfn.IFS(AE113="SUPERIOR",11,AE113="EXCELLENT",9,AE113="GOOD",7,AE113="LATE",5,AE113="NO GRADE",3,AE113="NA",2,AE113="NO REPORT",0)</f>
        <v>0</v>
      </c>
      <c r="AG113" s="284" t="str">
        <f>'Active &amp; Renewals'!L37</f>
        <v>NO REPORT</v>
      </c>
      <c r="AH113" s="281" cm="1">
        <f t="array" ref="AH113">_xlfn.IFS(AG113="SUPERIOR",11,AG113="EXCELLENT",9,AG113="GOOD",7,AG113="LATE",5,AG113="NO GRADE",3,AG113="NA",2,AG113="NO REPORT",0)</f>
        <v>0</v>
      </c>
      <c r="AI113" s="252">
        <f t="shared" si="143"/>
        <v>20</v>
      </c>
      <c r="AJ113" s="188" t="s">
        <v>655</v>
      </c>
      <c r="AK113" s="252" cm="1">
        <f t="array" ref="AK113">_xlfn.IFS(AJ113="8/8",11,AJ113="7/8",7,AJ113="6/8",6,AJ113="5/8",5,AJ113="4/8",4,AJ113="3/8",3,AJ113="2/8",2,AJ113="1/8",1,AJ113="0/8",0,TRUE,0)</f>
        <v>11</v>
      </c>
      <c r="AL113" s="189">
        <v>0</v>
      </c>
      <c r="AM113" s="300" cm="1">
        <f t="array" ref="AM113">_xlfn.IFS(AL113&gt;6,11,AL113&gt;=4,10,AL113&gt;=2,9,AL113=1,8,TRUE,0)</f>
        <v>0</v>
      </c>
      <c r="AN113" s="184">
        <f>Donations!E66</f>
        <v>100</v>
      </c>
      <c r="AO113" s="300" cm="1">
        <f t="array" ref="AO113">_xlfn.IFS(AN113&gt;125,11,AN113&gt;=116,10,AN113&gt;=101,9,AN113=100,8,AN113&gt;=86,7,AN113&gt;=71,6,AN113&gt;=61,5,AN113&gt;=51,4,AN113&gt;=41,3,AN113&gt;=26,2,AN113&gt;=1,1,TRUE,0)</f>
        <v>8</v>
      </c>
      <c r="AP113" s="184">
        <f>Donations!F66</f>
        <v>0</v>
      </c>
      <c r="AQ113" s="300" cm="1">
        <f t="array" ref="AQ113">_xlfn.IFS(AP113&gt;600,11,AP113&gt;=551,10,AP113&gt;=501,9,AP113=500,8,AP113&gt;=326,7,AP113&gt;=251,6,AP113&gt;=201,5,AP113&gt;=151,4,AP113&gt;=101,3,AP113&gt;=76,2,AP113&gt;=1,1,TRUE,0)</f>
        <v>0</v>
      </c>
      <c r="AR113" s="350"/>
      <c r="AS113" s="350"/>
      <c r="AT113" s="350"/>
      <c r="AU113" s="353"/>
      <c r="AV113" s="191">
        <v>0</v>
      </c>
      <c r="AW113" s="191">
        <v>3</v>
      </c>
      <c r="AX113" s="187">
        <v>2</v>
      </c>
      <c r="AY113" s="252">
        <f t="shared" si="145"/>
        <v>5</v>
      </c>
      <c r="AZ113" s="192"/>
      <c r="BA113" s="181"/>
      <c r="BB113" s="193">
        <v>0</v>
      </c>
      <c r="BC113" s="252" cm="1">
        <f t="array" ref="BC113">_xlfn.IFS(BB113=0,11,TRUE,0)</f>
        <v>11</v>
      </c>
      <c r="BD113" s="183">
        <v>0</v>
      </c>
      <c r="BE113" s="183">
        <v>1</v>
      </c>
      <c r="BF113" s="183">
        <v>1</v>
      </c>
      <c r="BG113" s="252">
        <f t="shared" si="146"/>
        <v>2</v>
      </c>
      <c r="BH113" s="183">
        <v>0</v>
      </c>
      <c r="BI113" s="183">
        <v>1</v>
      </c>
      <c r="BJ113" s="183">
        <v>1</v>
      </c>
      <c r="BK113" s="252">
        <f t="shared" si="147"/>
        <v>2</v>
      </c>
    </row>
    <row r="114" spans="1:63" ht="15.75" x14ac:dyDescent="0.25">
      <c r="A114" s="180" t="s">
        <v>24</v>
      </c>
      <c r="B114" s="252">
        <f t="shared" si="134"/>
        <v>135</v>
      </c>
      <c r="C114" s="253">
        <f t="shared" si="148"/>
        <v>2</v>
      </c>
      <c r="D114" s="260">
        <f>'Lodge Rank by District'!E84</f>
        <v>37</v>
      </c>
      <c r="E114" s="9" t="str">
        <f>'Active &amp; Renewals'!C72</f>
        <v>827</v>
      </c>
      <c r="F114" s="9" t="str">
        <f>'Active &amp; Renewals'!D72</f>
        <v>787</v>
      </c>
      <c r="G114" s="2">
        <f t="shared" si="135"/>
        <v>-40</v>
      </c>
      <c r="H114" s="252" cm="1">
        <f t="array" ref="H114">_xlfn.IFS(G114&gt;20,11,G114&gt;11,10,G114&gt;2,9,G114&gt;0,8,G114&gt;-6,7,G114&gt;-11,6,G114&gt;-16,5,G114&gt;-21,4,G114&gt;-26,3,G114&gt;-31,2,G114&gt;-36,1,TRUE,0)</f>
        <v>0</v>
      </c>
      <c r="I114" s="113" t="str">
        <f>'Active &amp; Renewals'!E72</f>
        <v>83.90</v>
      </c>
      <c r="J114" s="252" cm="1">
        <f t="array" ref="J114">_xlfn.IFS(VALUE(I114)&gt;=90.5,11,VALUE(I114)&gt;=85.5,10,VALUE(I114)&gt;=80.5,9,VALUE(I114)&gt;=75.5,8,VALUE(I114)&gt;=74.5,7,VALUE(I114)&gt;=70.5,6,VALUE(I114)&gt;=64.5,5,VALUE(I114)&gt;=60.5,4,VALUE(I114)&gt;=54.5,3,VALUE(I114)&gt;=50.5,2,VALUE(I114)&gt;=44.5,1,TRUE,0)</f>
        <v>9</v>
      </c>
      <c r="K114" s="195">
        <v>3512</v>
      </c>
      <c r="L114" s="195">
        <f>Donations!B25</f>
        <v>1091</v>
      </c>
      <c r="M114" s="267">
        <f t="shared" si="136"/>
        <v>-2421</v>
      </c>
      <c r="N114" s="268">
        <f t="shared" si="137"/>
        <v>0.31064920273348517</v>
      </c>
      <c r="O114" s="252" cm="1">
        <f t="array" ref="O114">_xlfn.IFS(N114&gt;=115.5%,11,N114&gt;=110.5%,10,N114&gt;=100.5%,9,N114&gt;=99.5%,8,N114&gt;=89.5%,7,N114&gt;=75.5%,6,N114&gt;=60.5%,5,N114&gt;=45.5%,4,N114&gt;=30.5%,3,N114&gt;=15.5%,2,N114&gt;=0.5%,1,TRUE,0)</f>
        <v>3</v>
      </c>
      <c r="P114" s="12">
        <f t="shared" si="138"/>
        <v>1.3192261185006047</v>
      </c>
      <c r="Q114" s="252" cm="1">
        <f t="array" ref="Q114">_xlfn.IFS(P114&gt;10,11,P114&gt;=8.01,10,P114&gt;=6.01,9,P114&gt;=4.01,8,P114=4,7,P114&gt;=3.01,6,P114&gt;=2.01,5,P114&gt;=1.51,4,P114&gt;=1.01,3,P114&gt;=0.51,2,P114&gt;=0.01,1,TRUE,0)</f>
        <v>3</v>
      </c>
      <c r="R114" s="269">
        <v>2481</v>
      </c>
      <c r="S114" s="184">
        <f>Donations!C25</f>
        <v>827</v>
      </c>
      <c r="T114" s="279">
        <f t="shared" si="139"/>
        <v>1</v>
      </c>
      <c r="U114" s="10">
        <f t="shared" si="140"/>
        <v>-1654</v>
      </c>
      <c r="V114" s="252" cm="1">
        <f t="array" ref="V114">_xlfn.IFS(T114&gt;=120%,11,T114&gt;=110.5%,10,T114&gt;=100.5%,9,T114&gt;99.9%,8,T114&gt;=85.5%,7,T114&gt;=72.5%,6,T114&gt;=65.5%,5,T114&gt;=55.5%,4,T114&gt;=45.5%,3,T114&gt;=35.5%,2,T114&gt;=20.5%,1,TRUE,0)</f>
        <v>8</v>
      </c>
      <c r="W114" s="269">
        <f t="shared" si="141"/>
        <v>124.05</v>
      </c>
      <c r="X114" s="184">
        <f>Donations!D25</f>
        <v>250</v>
      </c>
      <c r="Y114" s="269">
        <f t="shared" si="142"/>
        <v>0.30229746070133012</v>
      </c>
      <c r="Z114" s="252" cm="1">
        <f t="array" ref="Z114">_xlfn.IFS(Y114&gt;=0.26,11,Y114&gt;=0.21,10,Y114&gt;=0.16,9,Y114=0.15,8,Y114=0.14,7,Y114=0.13,6,Y114&gt;=0.11,5,Y114&gt;=0.09,4,Y114&gt;=0.07,3,Y114&gt;=0.04,2,Y114&gt;=0.01,1,TRUE,0)</f>
        <v>11</v>
      </c>
      <c r="AA114" s="294" t="str">
        <f>'Active &amp; Renewals'!F72</f>
        <v>SUPERIOR</v>
      </c>
      <c r="AB114" s="281" cm="1">
        <f t="array" ref="AB114">_xlfn.IFS(AA114="SUPERIOR",11,AA114="EXCELLENT",9,AA114="GOOD",7,AA114="LATE",5,AA114="NO GRADE",3,AA114="NA",2,AA114="NO REPORT",0)</f>
        <v>11</v>
      </c>
      <c r="AC114" s="294" t="str">
        <f>'Active &amp; Renewals'!H72</f>
        <v>SUPERIOR</v>
      </c>
      <c r="AD114" s="281" cm="1">
        <f t="array" ref="AD114">_xlfn.IFS(AC114="SUPERIOR",11,AC114="EXCELLENT",9,AC114="GOOD",7,AC114="LATE",5,AC114="NO GRADE",3,AC114="NA",2,AC114="NO REPORT",0)</f>
        <v>11</v>
      </c>
      <c r="AE114" s="284" t="str">
        <f>'Active &amp; Renewals'!J72</f>
        <v>NO REPORT</v>
      </c>
      <c r="AF114" s="281" cm="1">
        <f t="array" ref="AF114">_xlfn.IFS(AE114="SUPERIOR",11,AE114="EXCELLENT",9,AE114="GOOD",7,AE114="LATE",5,AE114="NO GRADE",3,AE114="NA",2,AE114="NO REPORT",0)</f>
        <v>0</v>
      </c>
      <c r="AG114" s="284" t="str">
        <f>'Active &amp; Renewals'!L72</f>
        <v>NO REPORT</v>
      </c>
      <c r="AH114" s="281" cm="1">
        <f t="array" ref="AH114">_xlfn.IFS(AG114="SUPERIOR",11,AG114="EXCELLENT",9,AG114="GOOD",7,AG114="LATE",5,AG114="NO GRADE",3,AG114="NA",2,AG114="NO REPORT",0)</f>
        <v>0</v>
      </c>
      <c r="AI114" s="252">
        <f t="shared" si="143"/>
        <v>22</v>
      </c>
      <c r="AJ114" s="188" t="s">
        <v>660</v>
      </c>
      <c r="AK114" s="252" cm="1">
        <f t="array" ref="AK114">_xlfn.IFS(AJ114="8/8",11,AJ114="7/8",7,AJ114="6/8",6,AJ114="5/8",5,AJ114="4/8",4,AJ114="3/8",3,AJ114="2/8",2,AJ114="1/8",1,AJ114="0/8",0,TRUE,0)</f>
        <v>5</v>
      </c>
      <c r="AL114" s="189">
        <v>2</v>
      </c>
      <c r="AM114" s="300" cm="1">
        <f t="array" ref="AM114">_xlfn.IFS(AL114&gt;6,11,AL114&gt;=4,10,AL114&gt;=2,9,AL114=1,8,TRUE,0)</f>
        <v>9</v>
      </c>
      <c r="AN114" s="184">
        <f>Donations!E25</f>
        <v>125</v>
      </c>
      <c r="AO114" s="300" cm="1">
        <f t="array" ref="AO114">_xlfn.IFS(AN114&gt;125,11,AN114&gt;=116,10,AN114&gt;=101,9,AN114=100,8,AN114&gt;=86,7,AN114&gt;=71,6,AN114&gt;=61,5,AN114&gt;=51,4,AN114&gt;=41,3,AN114&gt;=26,2,AN114&gt;=1,1,TRUE,0)</f>
        <v>10</v>
      </c>
      <c r="AP114" s="184">
        <f>Donations!F25</f>
        <v>500</v>
      </c>
      <c r="AQ114" s="300" cm="1">
        <f t="array" ref="AQ114">_xlfn.IFS(AP114&gt;600,11,AP114&gt;=551,10,AP114&gt;=501,9,AP114=500,8,AP114&gt;=326,7,AP114&gt;=251,6,AP114&gt;=201,5,AP114&gt;=151,4,AP114&gt;=101,3,AP114&gt;=76,2,AP114&gt;=1,1,TRUE,0)</f>
        <v>8</v>
      </c>
      <c r="AR114" s="350"/>
      <c r="AS114" s="350"/>
      <c r="AT114" s="350"/>
      <c r="AU114" s="353"/>
      <c r="AV114" s="191">
        <v>1</v>
      </c>
      <c r="AW114" s="191">
        <v>2</v>
      </c>
      <c r="AX114" s="187">
        <v>1</v>
      </c>
      <c r="AY114" s="252">
        <f t="shared" si="145"/>
        <v>4</v>
      </c>
      <c r="AZ114" s="192" t="s">
        <v>651</v>
      </c>
      <c r="BA114" s="181">
        <v>11</v>
      </c>
      <c r="BB114" s="193">
        <v>0</v>
      </c>
      <c r="BC114" s="252" cm="1">
        <f t="array" ref="BC114">_xlfn.IFS(BB114=0,11,TRUE,0)</f>
        <v>11</v>
      </c>
      <c r="BD114" s="183">
        <v>4</v>
      </c>
      <c r="BE114" s="183">
        <v>4</v>
      </c>
      <c r="BF114" s="183">
        <v>4</v>
      </c>
      <c r="BG114" s="252">
        <f t="shared" si="146"/>
        <v>12</v>
      </c>
      <c r="BH114" s="183">
        <v>3</v>
      </c>
      <c r="BI114" s="183">
        <v>3</v>
      </c>
      <c r="BJ114" s="183">
        <v>3</v>
      </c>
      <c r="BK114" s="252">
        <f t="shared" si="147"/>
        <v>9</v>
      </c>
    </row>
    <row r="115" spans="1:63" ht="15.75" x14ac:dyDescent="0.25">
      <c r="A115" s="180" t="s">
        <v>23</v>
      </c>
      <c r="B115" s="252">
        <f t="shared" si="134"/>
        <v>96</v>
      </c>
      <c r="C115" s="253">
        <f t="shared" si="148"/>
        <v>7</v>
      </c>
      <c r="D115" s="260">
        <f>'Lodge Rank by District'!E85</f>
        <v>89</v>
      </c>
      <c r="E115" s="9" t="str">
        <f>'Active &amp; Renewals'!C78</f>
        <v>443</v>
      </c>
      <c r="F115" s="9" t="str">
        <f>'Active &amp; Renewals'!D78</f>
        <v>529</v>
      </c>
      <c r="G115" s="2">
        <f t="shared" si="135"/>
        <v>86</v>
      </c>
      <c r="H115" s="252" cm="1">
        <f t="array" ref="H115">_xlfn.IFS(G115&gt;20,11,G115&gt;11,10,G115&gt;2,9,G115&gt;0,8,G115&gt;-6,7,G115&gt;-11,6,G115&gt;-16,5,G115&gt;-21,4,G115&gt;-26,3,G115&gt;-31,2,G115&gt;-36,1,TRUE,0)</f>
        <v>11</v>
      </c>
      <c r="I115" s="113" t="str">
        <f>'Active &amp; Renewals'!E78</f>
        <v>83.22</v>
      </c>
      <c r="J115" s="252" cm="1">
        <f t="array" ref="J115">_xlfn.IFS(VALUE(I115)&gt;=90.5,11,VALUE(I115)&gt;=85.5,10,VALUE(I115)&gt;=80.5,9,VALUE(I115)&gt;=75.5,8,VALUE(I115)&gt;=74.5,7,VALUE(I115)&gt;=70.5,6,VALUE(I115)&gt;=64.5,5,VALUE(I115)&gt;=60.5,4,VALUE(I115)&gt;=54.5,3,VALUE(I115)&gt;=50.5,2,VALUE(I115)&gt;=44.5,1,TRUE,0)</f>
        <v>9</v>
      </c>
      <c r="K115" s="195">
        <v>310</v>
      </c>
      <c r="L115" s="195">
        <f>Donations!B77</f>
        <v>246</v>
      </c>
      <c r="M115" s="267">
        <f t="shared" si="136"/>
        <v>-64</v>
      </c>
      <c r="N115" s="268">
        <f t="shared" si="137"/>
        <v>0.79354838709677422</v>
      </c>
      <c r="O115" s="252" cm="1">
        <f t="array" ref="O115">_xlfn.IFS(N115&gt;=115.5%,11,N115&gt;=110.5%,10,N115&gt;=100.5%,9,N115&gt;=99.5%,8,N115&gt;=89.5%,7,N115&gt;=75.5%,6,N115&gt;=60.5%,5,N115&gt;=45.5%,4,N115&gt;=30.5%,3,N115&gt;=15.5%,2,N115&gt;=0.5%,1,TRUE,0)</f>
        <v>6</v>
      </c>
      <c r="P115" s="12">
        <f t="shared" si="138"/>
        <v>0.5553047404063205</v>
      </c>
      <c r="Q115" s="252" cm="1">
        <f t="array" ref="Q115">_xlfn.IFS(P115&gt;10,11,P115&gt;=8.01,10,P115&gt;=6.01,9,P115&gt;=4.01,8,P115=4,7,P115&gt;=3.01,6,P115&gt;=2.01,5,P115&gt;=1.51,4,P115&gt;=1.01,3,P115&gt;=0.51,2,P115&gt;=0.01,1,TRUE,0)</f>
        <v>2</v>
      </c>
      <c r="R115" s="269">
        <v>1329</v>
      </c>
      <c r="S115" s="184">
        <f>Donations!C77</f>
        <v>1329</v>
      </c>
      <c r="T115" s="279">
        <f t="shared" si="139"/>
        <v>3</v>
      </c>
      <c r="U115" s="10">
        <f t="shared" si="140"/>
        <v>0</v>
      </c>
      <c r="V115" s="252" cm="1">
        <f t="array" ref="V115">_xlfn.IFS(T115&gt;=120%,11,T115&gt;=110.5%,10,T115&gt;=100.5%,9,T115&gt;99.9%,8,T115&gt;=85.5%,7,T115&gt;=72.5%,6,T115&gt;=65.5%,5,T115&gt;=55.5%,4,T115&gt;=45.5%,3,T115&gt;=35.5%,2,T115&gt;=20.5%,1,TRUE,0)</f>
        <v>11</v>
      </c>
      <c r="W115" s="269">
        <f t="shared" si="141"/>
        <v>66.45</v>
      </c>
      <c r="X115" s="184">
        <f>Donations!D77</f>
        <v>0</v>
      </c>
      <c r="Y115" s="269">
        <f t="shared" si="142"/>
        <v>0</v>
      </c>
      <c r="Z115" s="252" cm="1">
        <f t="array" ref="Z115">_xlfn.IFS(Y115&gt;=0.26,11,Y115&gt;=0.21,10,Y115&gt;=0.16,9,Y115=0.15,8,Y115=0.14,7,Y115=0.13,6,Y115&gt;=0.11,5,Y115&gt;=0.09,4,Y115&gt;=0.07,3,Y115&gt;=0.04,2,Y115&gt;=0.01,1,TRUE,0)</f>
        <v>0</v>
      </c>
      <c r="AA115" s="294" t="str">
        <f>'Active &amp; Renewals'!F78</f>
        <v>SUPERIOR</v>
      </c>
      <c r="AB115" s="281" cm="1">
        <f t="array" ref="AB115">_xlfn.IFS(AA115="SUPERIOR",11,AA115="EXCELLENT",9,AA115="GOOD",7,AA115="LATE",5,AA115="NO GRADE",3,AA115="NA",2,AA115="NO REPORT",0)</f>
        <v>11</v>
      </c>
      <c r="AC115" s="294" t="str">
        <f>'Active &amp; Renewals'!H78</f>
        <v>EXCELLENT</v>
      </c>
      <c r="AD115" s="281" cm="1">
        <f t="array" ref="AD115">_xlfn.IFS(AC115="SUPERIOR",11,AC115="EXCELLENT",9,AC115="GOOD",7,AC115="LATE",5,AC115="NO GRADE",3,AC115="NA",2,AC115="NO REPORT",0)</f>
        <v>9</v>
      </c>
      <c r="AE115" s="284" t="str">
        <f>'Active &amp; Renewals'!J78</f>
        <v>NO REPORT</v>
      </c>
      <c r="AF115" s="281" cm="1">
        <f t="array" ref="AF115">_xlfn.IFS(AE115="SUPERIOR",11,AE115="EXCELLENT",9,AE115="GOOD",7,AE115="LATE",5,AE115="NO GRADE",3,AE115="NA",2,AE115="NO REPORT",0)</f>
        <v>0</v>
      </c>
      <c r="AG115" s="284" t="str">
        <f>'Active &amp; Renewals'!L78</f>
        <v>NO REPORT</v>
      </c>
      <c r="AH115" s="281" cm="1">
        <f t="array" ref="AH115">_xlfn.IFS(AG115="SUPERIOR",11,AG115="EXCELLENT",9,AG115="GOOD",7,AG115="LATE",5,AG115="NO GRADE",3,AG115="NA",2,AG115="NO REPORT",0)</f>
        <v>0</v>
      </c>
      <c r="AI115" s="252">
        <f t="shared" si="143"/>
        <v>20</v>
      </c>
      <c r="AJ115" s="188" t="s">
        <v>656</v>
      </c>
      <c r="AK115" s="252" cm="1">
        <f t="array" ref="AK115">_xlfn.IFS(AJ115="8/8",11,AJ115="7/8",7,AJ115="6/8",6,AJ115="5/8",5,AJ115="4/8",4,AJ115="3/8",3,AJ115="2/8",2,AJ115="1/8",1,AJ115="0/8",0,TRUE,0)</f>
        <v>7</v>
      </c>
      <c r="AL115" s="187">
        <v>0</v>
      </c>
      <c r="AM115" s="300" cm="1">
        <f t="array" ref="AM115">_xlfn.IFS(AL115&gt;6,11,AL115&gt;=4,10,AL115&gt;=2,9,AL115=1,8,TRUE,0)</f>
        <v>0</v>
      </c>
      <c r="AN115" s="184">
        <f>Donations!E77</f>
        <v>100</v>
      </c>
      <c r="AO115" s="300" cm="1">
        <f t="array" ref="AO115">_xlfn.IFS(AN115&gt;125,11,AN115&gt;=116,10,AN115&gt;=101,9,AN115=100,8,AN115&gt;=86,7,AN115&gt;=71,6,AN115&gt;=61,5,AN115&gt;=51,4,AN115&gt;=41,3,AN115&gt;=26,2,AN115&gt;=1,1,TRUE,0)</f>
        <v>8</v>
      </c>
      <c r="AP115" s="184">
        <f>Donations!F77</f>
        <v>100</v>
      </c>
      <c r="AQ115" s="300" cm="1">
        <f t="array" ref="AQ115">_xlfn.IFS(AP115&gt;600,11,AP115&gt;=551,10,AP115&gt;=501,9,AP115=500,8,AP115&gt;=326,7,AP115&gt;=251,6,AP115&gt;=201,5,AP115&gt;=151,4,AP115&gt;=101,3,AP115&gt;=76,2,AP115&gt;=1,1,TRUE,0)</f>
        <v>2</v>
      </c>
      <c r="AR115" s="351"/>
      <c r="AS115" s="351"/>
      <c r="AT115" s="351"/>
      <c r="AU115" s="354"/>
      <c r="AV115" s="191">
        <v>0</v>
      </c>
      <c r="AW115" s="191">
        <v>0</v>
      </c>
      <c r="AX115" s="187">
        <v>4</v>
      </c>
      <c r="AY115" s="252">
        <f t="shared" si="145"/>
        <v>4</v>
      </c>
      <c r="AZ115" s="192"/>
      <c r="BA115" s="181"/>
      <c r="BB115" s="193">
        <v>0</v>
      </c>
      <c r="BC115" s="252" cm="1">
        <f t="array" ref="BC115">_xlfn.IFS(BB115=0,11,TRUE,0)</f>
        <v>11</v>
      </c>
      <c r="BD115" s="183">
        <v>1</v>
      </c>
      <c r="BE115" s="183">
        <v>1</v>
      </c>
      <c r="BF115" s="183">
        <v>0</v>
      </c>
      <c r="BG115" s="252">
        <f t="shared" si="146"/>
        <v>2</v>
      </c>
      <c r="BH115" s="183">
        <v>0</v>
      </c>
      <c r="BI115" s="183">
        <v>0</v>
      </c>
      <c r="BJ115" s="183">
        <v>3</v>
      </c>
      <c r="BK115" s="252">
        <f t="shared" si="147"/>
        <v>3</v>
      </c>
    </row>
    <row r="116" spans="1:63" ht="18.75" x14ac:dyDescent="0.25">
      <c r="A116" s="196" t="s">
        <v>1</v>
      </c>
      <c r="B116" s="254">
        <f>SUM(B109:B115)/7</f>
        <v>123</v>
      </c>
      <c r="C116" s="2"/>
      <c r="D116" s="264">
        <f>'District '!K22</f>
        <v>9</v>
      </c>
      <c r="E116" s="5"/>
      <c r="F116" s="5"/>
      <c r="G116" s="1"/>
      <c r="H116" s="1"/>
      <c r="I116" s="307"/>
      <c r="J116" s="1"/>
      <c r="K116" s="210"/>
      <c r="L116" s="226">
        <f>SUM(L109:L115)</f>
        <v>14385.22</v>
      </c>
      <c r="M116" s="4"/>
      <c r="N116" s="97"/>
      <c r="O116" s="1"/>
      <c r="P116" s="3"/>
      <c r="Q116" s="1"/>
      <c r="R116" s="267" t="s">
        <v>0</v>
      </c>
      <c r="S116" s="202"/>
      <c r="T116" s="97"/>
      <c r="U116" s="1"/>
      <c r="V116" s="1"/>
      <c r="W116" s="1"/>
      <c r="X116" s="285"/>
      <c r="Y116" s="269"/>
      <c r="Z116" s="1"/>
      <c r="AA116" s="2"/>
      <c r="AB116" s="2"/>
      <c r="AC116" s="2"/>
      <c r="AD116" s="2"/>
      <c r="AE116" s="7"/>
      <c r="AF116" s="18"/>
      <c r="AG116" s="7"/>
      <c r="AH116" s="2"/>
      <c r="AI116" s="1"/>
      <c r="AJ116" s="204"/>
      <c r="AK116" s="1"/>
      <c r="AL116" s="197"/>
      <c r="AM116" s="1"/>
      <c r="AN116" s="205"/>
      <c r="AO116" s="1"/>
      <c r="AP116" s="206"/>
      <c r="AQ116" s="1"/>
      <c r="AR116" s="207"/>
      <c r="AS116" s="207"/>
      <c r="AT116" s="207"/>
      <c r="AU116" s="1"/>
      <c r="AV116" s="242"/>
      <c r="AW116" s="242"/>
      <c r="AX116" s="209"/>
      <c r="AY116" s="1"/>
      <c r="AZ116" s="204"/>
      <c r="BA116" s="197"/>
      <c r="BB116" s="210"/>
      <c r="BC116" s="1"/>
      <c r="BD116" s="197"/>
      <c r="BE116" s="197"/>
      <c r="BF116" s="197"/>
      <c r="BG116" s="1"/>
      <c r="BH116" s="197"/>
      <c r="BI116" s="197"/>
      <c r="BJ116" s="211"/>
      <c r="BK116" s="1"/>
    </row>
    <row r="117" spans="1:63" ht="18.75" x14ac:dyDescent="0.25">
      <c r="A117" s="229"/>
      <c r="B117" s="17"/>
      <c r="C117" s="17"/>
      <c r="D117" s="22"/>
      <c r="E117" s="27"/>
      <c r="F117" s="27"/>
      <c r="G117" s="17"/>
      <c r="H117" s="17"/>
      <c r="I117" s="309"/>
      <c r="J117" s="17"/>
      <c r="K117" s="231"/>
      <c r="L117" s="231"/>
      <c r="M117" s="26"/>
      <c r="N117" s="98"/>
      <c r="O117" s="17"/>
      <c r="P117" s="25"/>
      <c r="Q117" s="17"/>
      <c r="R117" s="276" t="s">
        <v>0</v>
      </c>
      <c r="S117" s="232"/>
      <c r="T117" s="98"/>
      <c r="U117" s="17"/>
      <c r="V117" s="17"/>
      <c r="W117" s="17"/>
      <c r="X117" s="292"/>
      <c r="Y117" s="296"/>
      <c r="Z117" s="297"/>
      <c r="AA117" s="22"/>
      <c r="AB117" s="22"/>
      <c r="AC117" s="22"/>
      <c r="AD117" s="22"/>
      <c r="AE117" s="133"/>
      <c r="AF117" s="23"/>
      <c r="AG117" s="133"/>
      <c r="AH117" s="22"/>
      <c r="AI117" s="17"/>
      <c r="AJ117" s="233"/>
      <c r="AK117" s="17"/>
      <c r="AL117" s="217"/>
      <c r="AM117" s="17"/>
      <c r="AN117" s="234"/>
      <c r="AO117" s="17"/>
      <c r="AP117" s="235"/>
      <c r="AQ117" s="17"/>
      <c r="AR117" s="236"/>
      <c r="AS117" s="236"/>
      <c r="AT117" s="236"/>
      <c r="AU117" s="17"/>
      <c r="AV117" s="225"/>
      <c r="AW117" s="225"/>
      <c r="AX117" s="236"/>
      <c r="AY117" s="17"/>
      <c r="AZ117" s="233"/>
      <c r="BA117" s="217"/>
      <c r="BB117" s="231"/>
      <c r="BC117" s="17"/>
      <c r="BD117" s="217"/>
      <c r="BE117" s="217"/>
      <c r="BF117" s="217"/>
      <c r="BG117" s="17"/>
      <c r="BH117" s="217"/>
      <c r="BI117" s="217"/>
      <c r="BJ117" s="217"/>
      <c r="BK117" s="17"/>
    </row>
    <row r="118" spans="1:63" ht="18.75" x14ac:dyDescent="0.25">
      <c r="A118" s="196" t="s">
        <v>22</v>
      </c>
      <c r="B118" s="2"/>
      <c r="C118" s="2"/>
      <c r="D118" s="2"/>
      <c r="E118" s="5"/>
      <c r="F118" s="5"/>
      <c r="G118" s="1"/>
      <c r="H118" s="1"/>
      <c r="I118" s="310"/>
      <c r="J118" s="1"/>
      <c r="K118" s="210"/>
      <c r="L118" s="210"/>
      <c r="M118" s="4"/>
      <c r="N118" s="97"/>
      <c r="O118" s="1"/>
      <c r="P118" s="3"/>
      <c r="Q118" s="1"/>
      <c r="R118" s="267" t="s">
        <v>0</v>
      </c>
      <c r="S118" s="202"/>
      <c r="T118" s="97"/>
      <c r="U118" s="1"/>
      <c r="V118" s="1"/>
      <c r="W118" s="1"/>
      <c r="X118" s="285"/>
      <c r="Y118" s="269"/>
      <c r="Z118" s="1"/>
      <c r="AA118" s="2"/>
      <c r="AB118" s="2"/>
      <c r="AC118" s="2"/>
      <c r="AD118" s="2"/>
      <c r="AE118" s="7"/>
      <c r="AF118" s="18"/>
      <c r="AG118" s="7"/>
      <c r="AH118" s="2"/>
      <c r="AI118" s="1"/>
      <c r="AJ118" s="204"/>
      <c r="AK118" s="1"/>
      <c r="AL118" s="197"/>
      <c r="AM118" s="1"/>
      <c r="AN118" s="205"/>
      <c r="AO118" s="1"/>
      <c r="AP118" s="206"/>
      <c r="AQ118" s="1"/>
      <c r="AR118" s="209"/>
      <c r="AS118" s="207"/>
      <c r="AT118" s="207"/>
      <c r="AU118" s="275"/>
      <c r="AV118" s="212"/>
      <c r="AW118" s="212"/>
      <c r="AX118" s="209"/>
      <c r="AY118" s="1"/>
      <c r="AZ118" s="204"/>
      <c r="BA118" s="197"/>
      <c r="BB118" s="210"/>
      <c r="BC118" s="1"/>
      <c r="BD118" s="197"/>
      <c r="BE118" s="197"/>
      <c r="BF118" s="197"/>
      <c r="BG118" s="1"/>
      <c r="BH118" s="197"/>
      <c r="BI118" s="197"/>
      <c r="BJ118" s="211"/>
      <c r="BK118" s="1"/>
    </row>
    <row r="119" spans="1:63" ht="15.75" x14ac:dyDescent="0.25">
      <c r="A119" s="180" t="s">
        <v>21</v>
      </c>
      <c r="B119" s="252">
        <f t="shared" ref="B119:B125" si="149">+H119+J119+O119+Q119+V119+Z119+AI119+AK119+AM119+AO119+AQ119+AY119+BA119+BC119+BG119+BK119</f>
        <v>92</v>
      </c>
      <c r="C119" s="253">
        <f>RANK(B119,$B$119:$B$125)</f>
        <v>5</v>
      </c>
      <c r="D119" s="260">
        <f>'Lodge Rank by District'!E86</f>
        <v>90</v>
      </c>
      <c r="E119" s="9" t="str">
        <f>'Active &amp; Renewals'!C6</f>
        <v>425</v>
      </c>
      <c r="F119" s="9" t="str">
        <f>'Active &amp; Renewals'!D6</f>
        <v>422</v>
      </c>
      <c r="G119" s="2">
        <f t="shared" ref="G119:G125" si="150">+F119-E119</f>
        <v>-3</v>
      </c>
      <c r="H119" s="252" cm="1">
        <f t="array" ref="H119">_xlfn.IFS(G119&gt;20,11,G119&gt;11,10,G119&gt;2,9,G119&gt;0,8,G119&gt;-6,7,G119&gt;-11,6,G119&gt;-16,5,G119&gt;-21,4,G119&gt;-26,3,G119&gt;-31,2,G119&gt;-36,1,TRUE,0)</f>
        <v>7</v>
      </c>
      <c r="I119" s="113" t="str">
        <f>'Active &amp; Renewals'!E6</f>
        <v>75.94</v>
      </c>
      <c r="J119" s="252" cm="1">
        <f t="array" ref="J119">_xlfn.IFS(VALUE(I119)&gt;=90.5,11,VALUE(I119)&gt;=85.5,10,VALUE(I119)&gt;=80.5,9,VALUE(I119)&gt;=75.5,8,VALUE(I119)&gt;=74.5,7,VALUE(I119)&gt;=70.5,6,VALUE(I119)&gt;=64.5,5,VALUE(I119)&gt;=60.5,4,VALUE(I119)&gt;=54.5,3,VALUE(I119)&gt;=50.5,2,VALUE(I119)&gt;=44.5,1,TRUE,0)</f>
        <v>8</v>
      </c>
      <c r="K119" s="195">
        <v>1213</v>
      </c>
      <c r="L119" s="195">
        <f>Donations!B68</f>
        <v>185</v>
      </c>
      <c r="M119" s="267">
        <f t="shared" ref="M119:M125" si="151">+L119-K119</f>
        <v>-1028</v>
      </c>
      <c r="N119" s="268">
        <f t="shared" ref="N119:N125" si="152">+L119/K119</f>
        <v>0.15251442704039572</v>
      </c>
      <c r="O119" s="252" cm="1">
        <f t="array" ref="O119">_xlfn.IFS(N119&gt;=115.5%,11,N119&gt;=110.5%,10,N119&gt;=100.5%,9,N119&gt;=99.5%,8,N119&gt;=89.5%,7,N119&gt;=75.5%,6,N119&gt;=60.5%,5,N119&gt;=45.5%,4,N119&gt;=30.5%,3,N119&gt;=15.5%,2,N119&gt;=0.5%,1,TRUE,0)</f>
        <v>1</v>
      </c>
      <c r="P119" s="12">
        <f t="shared" ref="P119:P125" si="153">+L119/E119</f>
        <v>0.43529411764705883</v>
      </c>
      <c r="Q119" s="252" cm="1">
        <f t="array" ref="Q119">_xlfn.IFS(P119&gt;10,11,P119&gt;=8.01,10,P119&gt;=6.01,9,P119&gt;=4.01,8,P119=4,7,P119&gt;=3.01,6,P119&gt;=2.01,5,P119&gt;=1.51,4,P119&gt;=1.01,3,P119&gt;=0.51,2,P119&gt;=0.01,1,TRUE,0)</f>
        <v>1</v>
      </c>
      <c r="R119" s="269">
        <v>1275</v>
      </c>
      <c r="S119" s="184">
        <f>Donations!C68</f>
        <v>400</v>
      </c>
      <c r="T119" s="279">
        <f t="shared" ref="T119:T125" si="154">+S119/(R119/3)</f>
        <v>0.94117647058823528</v>
      </c>
      <c r="U119" s="10">
        <f t="shared" ref="U119:U125" si="155">+S119-R119</f>
        <v>-875</v>
      </c>
      <c r="V119" s="252" cm="1">
        <f t="array" ref="V119">_xlfn.IFS(T119&gt;=120%,11,T119&gt;=110.5%,10,T119&gt;=100.5%,9,T119&gt;99.9%,8,T119&gt;=85.5%,7,T119&gt;=72.5%,6,T119&gt;=65.5%,5,T119&gt;=55.5%,4,T119&gt;=45.5%,3,T119&gt;=35.5%,2,T119&gt;=20.5%,1,TRUE,0)</f>
        <v>7</v>
      </c>
      <c r="W119" s="269">
        <f t="shared" ref="W119:W125" si="156">E119*0.15</f>
        <v>63.75</v>
      </c>
      <c r="X119" s="184">
        <f>Donations!D68</f>
        <v>50</v>
      </c>
      <c r="Y119" s="269">
        <f t="shared" ref="Y119:Y125" si="157">+X119/E119</f>
        <v>0.11764705882352941</v>
      </c>
      <c r="Z119" s="252" cm="1">
        <f t="array" ref="Z119">_xlfn.IFS(Y119&gt;=0.26,11,Y119&gt;=0.21,10,Y119&gt;=0.16,9,Y119=0.15,8,Y119=0.14,7,Y119=0.13,6,Y119&gt;=0.11,5,Y119&gt;=0.09,4,Y119&gt;=0.07,3,Y119&gt;=0.04,2,Y119&gt;=0.01,1,TRUE,0)</f>
        <v>5</v>
      </c>
      <c r="AA119" s="294" t="str">
        <f>'Active &amp; Renewals'!F6</f>
        <v>EXCELLENT</v>
      </c>
      <c r="AB119" s="281" cm="1">
        <f t="array" ref="AB119">_xlfn.IFS(AA119="SUPERIOR",11,AA119="EXCELLENT",9,AA119="GOOD",7,AA119="LATE",5,AA119="NO GRADE",3,AA119="NA",2,AA119="NO REPORT",0)</f>
        <v>9</v>
      </c>
      <c r="AC119" s="294" t="str">
        <f>'Active &amp; Renewals'!H6</f>
        <v>EXCELLENT</v>
      </c>
      <c r="AD119" s="281" cm="1">
        <f t="array" ref="AD119">_xlfn.IFS(AC119="SUPERIOR",11,AC119="EXCELLENT",9,AC119="GOOD",7,AC119="LATE",5,AC119="NO GRADE",3,AC119="NA",2,AC119="NO REPORT",0)</f>
        <v>9</v>
      </c>
      <c r="AE119" s="284" t="str">
        <f>'Active &amp; Renewals'!J6</f>
        <v>NO REPORT</v>
      </c>
      <c r="AF119" s="281" cm="1">
        <f t="array" ref="AF119">_xlfn.IFS(AE119="SUPERIOR",11,AE119="EXCELLENT",9,AE119="GOOD",7,AE119="LATE",5,AE119="NO GRADE",3,AE119="NA",2,AE119="NO REPORT",0)</f>
        <v>0</v>
      </c>
      <c r="AG119" s="284" t="str">
        <f>'Active &amp; Renewals'!L6</f>
        <v>NO REPORT</v>
      </c>
      <c r="AH119" s="281" cm="1">
        <f t="array" ref="AH119">_xlfn.IFS(AG119="SUPERIOR",11,AG119="EXCELLENT",9,AG119="GOOD",7,AG119="LATE",5,AG119="NO GRADE",3,AG119="NA",2,AG119="NO REPORT",0)</f>
        <v>0</v>
      </c>
      <c r="AI119" s="252">
        <f t="shared" ref="AI119:AI125" si="158">SUM(AB119+AD119+AF119+AH119)</f>
        <v>18</v>
      </c>
      <c r="AJ119" s="188" t="s">
        <v>653</v>
      </c>
      <c r="AK119" s="252" cm="1">
        <f t="array" ref="AK119">_xlfn.IFS(AJ119="8/8",11,AJ119="7/8",7,AJ119="6/8",6,AJ119="5/8",5,AJ119="4/8",4,AJ119="3/8",3,AJ119="2/8",2,AJ119="1/8",1,AJ119="0/8",0,TRUE,0)</f>
        <v>6</v>
      </c>
      <c r="AL119" s="189">
        <v>1</v>
      </c>
      <c r="AM119" s="300" cm="1">
        <f t="array" ref="AM119">_xlfn.IFS(AL119&gt;6,11,AL119&gt;=4,10,AL119&gt;=2,9,AL119=1,8,TRUE,0)</f>
        <v>8</v>
      </c>
      <c r="AN119" s="184">
        <f>Donations!E68</f>
        <v>125</v>
      </c>
      <c r="AO119" s="300" cm="1">
        <f t="array" ref="AO119">_xlfn.IFS(AN119&gt;125,11,AN119&gt;=116,10,AN119&gt;=101,9,AN119=100,8,AN119&gt;=86,7,AN119&gt;=71,6,AN119&gt;=61,5,AN119&gt;=51,4,AN119&gt;=41,3,AN119&gt;=26,2,AN119&gt;=1,1,TRUE,0)</f>
        <v>10</v>
      </c>
      <c r="AP119" s="184">
        <f>Donations!F68</f>
        <v>100</v>
      </c>
      <c r="AQ119" s="300" cm="1">
        <f t="array" ref="AQ119">_xlfn.IFS(AP119&gt;600,11,AP119&gt;=551,10,AP119&gt;=501,9,AP119=500,8,AP119&gt;=326,7,AP119&gt;=251,6,AP119&gt;=201,5,AP119&gt;=151,4,AP119&gt;=101,3,AP119&gt;=76,2,AP119&gt;=1,1,TRUE,0)</f>
        <v>2</v>
      </c>
      <c r="AR119" s="349">
        <v>3</v>
      </c>
      <c r="AS119" s="349">
        <v>3</v>
      </c>
      <c r="AT119" s="349">
        <v>7</v>
      </c>
      <c r="AU119" s="352">
        <f t="shared" ref="AU119" si="159">+AR119+AS119+AT119</f>
        <v>13</v>
      </c>
      <c r="AV119" s="191">
        <v>1</v>
      </c>
      <c r="AW119" s="191">
        <v>2</v>
      </c>
      <c r="AX119" s="187">
        <v>0</v>
      </c>
      <c r="AY119" s="252">
        <f t="shared" ref="AY119:AY125" si="160">+AV119+AW119+AX119</f>
        <v>3</v>
      </c>
      <c r="AZ119" s="192"/>
      <c r="BA119" s="181"/>
      <c r="BB119" s="193">
        <v>0</v>
      </c>
      <c r="BC119" s="252" cm="1">
        <f t="array" ref="BC119">_xlfn.IFS(BB119=0,11,TRUE,0)</f>
        <v>11</v>
      </c>
      <c r="BD119" s="183">
        <v>0</v>
      </c>
      <c r="BE119" s="183">
        <v>3</v>
      </c>
      <c r="BF119" s="183">
        <v>0</v>
      </c>
      <c r="BG119" s="252">
        <f t="shared" ref="BG119:BG125" si="161">SUM(BD119+BE119+BF119)</f>
        <v>3</v>
      </c>
      <c r="BH119" s="183">
        <v>0</v>
      </c>
      <c r="BI119" s="183">
        <v>0</v>
      </c>
      <c r="BJ119" s="183">
        <v>2</v>
      </c>
      <c r="BK119" s="252">
        <f t="shared" ref="BK119:BK125" si="162">SUM(BH119+BI119+BJ119)</f>
        <v>2</v>
      </c>
    </row>
    <row r="120" spans="1:63" ht="15.75" x14ac:dyDescent="0.25">
      <c r="A120" s="180" t="s">
        <v>20</v>
      </c>
      <c r="B120" s="252">
        <f t="shared" si="149"/>
        <v>89</v>
      </c>
      <c r="C120" s="253">
        <f t="shared" ref="C120:C125" si="163">RANK(B120,$B$119:$B$125)</f>
        <v>6</v>
      </c>
      <c r="D120" s="260">
        <f>'Lodge Rank by District'!E87</f>
        <v>91</v>
      </c>
      <c r="E120" s="9" t="str">
        <f>'Active &amp; Renewals'!C9</f>
        <v>426</v>
      </c>
      <c r="F120" s="9" t="str">
        <f>'Active &amp; Renewals'!D9</f>
        <v>387</v>
      </c>
      <c r="G120" s="2">
        <f t="shared" si="150"/>
        <v>-39</v>
      </c>
      <c r="H120" s="252" cm="1">
        <f t="array" ref="H120">_xlfn.IFS(G120&gt;20,11,G120&gt;11,10,G120&gt;2,9,G120&gt;0,8,G120&gt;-6,7,G120&gt;-11,6,G120&gt;-16,5,G120&gt;-21,4,G120&gt;-26,3,G120&gt;-31,2,G120&gt;-36,1,TRUE,0)</f>
        <v>0</v>
      </c>
      <c r="I120" s="113" t="str">
        <f>'Active &amp; Renewals'!E9</f>
        <v>76.42</v>
      </c>
      <c r="J120" s="252" cm="1">
        <f t="array" ref="J120">_xlfn.IFS(VALUE(I120)&gt;=90.5,11,VALUE(I120)&gt;=85.5,10,VALUE(I120)&gt;=80.5,9,VALUE(I120)&gt;=75.5,8,VALUE(I120)&gt;=74.5,7,VALUE(I120)&gt;=70.5,6,VALUE(I120)&gt;=64.5,5,VALUE(I120)&gt;=60.5,4,VALUE(I120)&gt;=54.5,3,VALUE(I120)&gt;=50.5,2,VALUE(I120)&gt;=44.5,1,TRUE,0)</f>
        <v>8</v>
      </c>
      <c r="K120" s="195">
        <v>878.12</v>
      </c>
      <c r="L120" s="195">
        <f>Donations!B10</f>
        <v>550.35</v>
      </c>
      <c r="M120" s="267">
        <f t="shared" si="151"/>
        <v>-327.77</v>
      </c>
      <c r="N120" s="268">
        <f t="shared" si="152"/>
        <v>0.62673666469275269</v>
      </c>
      <c r="O120" s="252" cm="1">
        <f t="array" ref="O120">_xlfn.IFS(N120&gt;=115.5%,11,N120&gt;=110.5%,10,N120&gt;=100.5%,9,N120&gt;=99.5%,8,N120&gt;=89.5%,7,N120&gt;=75.5%,6,N120&gt;=60.5%,5,N120&gt;=45.5%,4,N120&gt;=30.5%,3,N120&gt;=15.5%,2,N120&gt;=0.5%,1,TRUE,0)</f>
        <v>5</v>
      </c>
      <c r="P120" s="12">
        <f t="shared" si="153"/>
        <v>1.2919014084507043</v>
      </c>
      <c r="Q120" s="252" cm="1">
        <f t="array" ref="Q120">_xlfn.IFS(P120&gt;10,11,P120&gt;=8.01,10,P120&gt;=6.01,9,P120&gt;=4.01,8,P120=4,7,P120&gt;=3.01,6,P120&gt;=2.01,5,P120&gt;=1.51,4,P120&gt;=1.01,3,P120&gt;=0.51,2,P120&gt;=0.01,1,TRUE,0)</f>
        <v>3</v>
      </c>
      <c r="R120" s="269">
        <v>1278</v>
      </c>
      <c r="S120" s="184">
        <f>Donations!C10</f>
        <v>0</v>
      </c>
      <c r="T120" s="279">
        <f t="shared" si="154"/>
        <v>0</v>
      </c>
      <c r="U120" s="10">
        <f t="shared" si="155"/>
        <v>-1278</v>
      </c>
      <c r="V120" s="252" cm="1">
        <f t="array" ref="V120">_xlfn.IFS(T120&gt;=120%,11,T120&gt;=110.5%,10,T120&gt;=100.5%,9,T120&gt;99.9%,8,T120&gt;=85.5%,7,T120&gt;=72.5%,6,T120&gt;=65.5%,5,T120&gt;=55.5%,4,T120&gt;=45.5%,3,T120&gt;=35.5%,2,T120&gt;=20.5%,1,TRUE,0)</f>
        <v>0</v>
      </c>
      <c r="W120" s="269">
        <f t="shared" si="156"/>
        <v>63.9</v>
      </c>
      <c r="X120" s="184">
        <f>Donations!D10</f>
        <v>100</v>
      </c>
      <c r="Y120" s="269">
        <f t="shared" si="157"/>
        <v>0.23474178403755869</v>
      </c>
      <c r="Z120" s="252" cm="1">
        <f t="array" ref="Z120">_xlfn.IFS(Y120&gt;=0.26,11,Y120&gt;=0.21,10,Y120&gt;=0.16,9,Y120=0.15,8,Y120=0.14,7,Y120=0.13,6,Y120&gt;=0.11,5,Y120&gt;=0.09,4,Y120&gt;=0.07,3,Y120&gt;=0.04,2,Y120&gt;=0.01,1,TRUE,0)</f>
        <v>10</v>
      </c>
      <c r="AA120" s="294" t="str">
        <f>'Active &amp; Renewals'!F9</f>
        <v>GOOD</v>
      </c>
      <c r="AB120" s="281" cm="1">
        <f t="array" ref="AB120">_xlfn.IFS(AA120="SUPERIOR",11,AA120="EXCELLENT",9,AA120="GOOD",7,AA120="LATE",5,AA120="NO GRADE",3,AA120="NA",2,AA120="NO REPORT",0)</f>
        <v>7</v>
      </c>
      <c r="AC120" s="294" t="str">
        <f>'Active &amp; Renewals'!H9</f>
        <v>GOOD</v>
      </c>
      <c r="AD120" s="281" cm="1">
        <f t="array" ref="AD120">_xlfn.IFS(AC120="SUPERIOR",11,AC120="EXCELLENT",9,AC120="GOOD",7,AC120="LATE",5,AC120="NO GRADE",3,AC120="NA",2,AC120="NO REPORT",0)</f>
        <v>7</v>
      </c>
      <c r="AE120" s="284" t="str">
        <f>'Active &amp; Renewals'!J9</f>
        <v>NO REPORT</v>
      </c>
      <c r="AF120" s="281" cm="1">
        <f t="array" ref="AF120">_xlfn.IFS(AE120="SUPERIOR",11,AE120="EXCELLENT",9,AE120="GOOD",7,AE120="LATE",5,AE120="NO GRADE",3,AE120="NA",2,AE120="NO REPORT",0)</f>
        <v>0</v>
      </c>
      <c r="AG120" s="284" t="str">
        <f>'Active &amp; Renewals'!L9</f>
        <v>NO REPORT</v>
      </c>
      <c r="AH120" s="281" cm="1">
        <f t="array" ref="AH120">_xlfn.IFS(AG120="SUPERIOR",11,AG120="EXCELLENT",9,AG120="GOOD",7,AG120="LATE",5,AG120="NO GRADE",3,AG120="NA",2,AG120="NO REPORT",0)</f>
        <v>0</v>
      </c>
      <c r="AI120" s="252">
        <f t="shared" si="158"/>
        <v>14</v>
      </c>
      <c r="AJ120" s="188" t="s">
        <v>657</v>
      </c>
      <c r="AK120" s="252" cm="1">
        <f t="array" ref="AK120">_xlfn.IFS(AJ120="8/8",11,AJ120="7/8",7,AJ120="6/8",6,AJ120="5/8",5,AJ120="4/8",4,AJ120="3/8",3,AJ120="2/8",2,AJ120="1/8",1,AJ120="0/8",0,TRUE,0)</f>
        <v>3</v>
      </c>
      <c r="AL120" s="189">
        <v>3</v>
      </c>
      <c r="AM120" s="300" cm="1">
        <f t="array" ref="AM120">_xlfn.IFS(AL120&gt;6,11,AL120&gt;=4,10,AL120&gt;=2,9,AL120=1,8,TRUE,0)</f>
        <v>9</v>
      </c>
      <c r="AN120" s="184">
        <f>Donations!E10</f>
        <v>100</v>
      </c>
      <c r="AO120" s="300" cm="1">
        <f t="array" ref="AO120">_xlfn.IFS(AN120&gt;125,11,AN120&gt;=116,10,AN120&gt;=101,9,AN120=100,8,AN120&gt;=86,7,AN120&gt;=71,6,AN120&gt;=61,5,AN120&gt;=51,4,AN120&gt;=41,3,AN120&gt;=26,2,AN120&gt;=1,1,TRUE,0)</f>
        <v>8</v>
      </c>
      <c r="AP120" s="184">
        <f>Donations!F10</f>
        <v>100</v>
      </c>
      <c r="AQ120" s="300" cm="1">
        <f t="array" ref="AQ120">_xlfn.IFS(AP120&gt;600,11,AP120&gt;=551,10,AP120&gt;=501,9,AP120=500,8,AP120&gt;=326,7,AP120&gt;=251,6,AP120&gt;=201,5,AP120&gt;=151,4,AP120&gt;=101,3,AP120&gt;=76,2,AP120&gt;=1,1,TRUE,0)</f>
        <v>2</v>
      </c>
      <c r="AR120" s="350"/>
      <c r="AS120" s="350"/>
      <c r="AT120" s="350"/>
      <c r="AU120" s="353"/>
      <c r="AV120" s="191">
        <v>3</v>
      </c>
      <c r="AW120" s="191">
        <v>2</v>
      </c>
      <c r="AX120" s="187">
        <v>0</v>
      </c>
      <c r="AY120" s="252">
        <f t="shared" si="160"/>
        <v>5</v>
      </c>
      <c r="AZ120" s="192"/>
      <c r="BA120" s="181"/>
      <c r="BB120" s="193">
        <v>0</v>
      </c>
      <c r="BC120" s="252" cm="1">
        <f t="array" ref="BC120">_xlfn.IFS(BB120=0,11,TRUE,0)</f>
        <v>11</v>
      </c>
      <c r="BD120" s="183">
        <v>4</v>
      </c>
      <c r="BE120" s="183">
        <v>0</v>
      </c>
      <c r="BF120" s="183">
        <v>4</v>
      </c>
      <c r="BG120" s="252">
        <f t="shared" si="161"/>
        <v>8</v>
      </c>
      <c r="BH120" s="183">
        <v>3</v>
      </c>
      <c r="BI120" s="183">
        <v>0</v>
      </c>
      <c r="BJ120" s="183">
        <v>0</v>
      </c>
      <c r="BK120" s="252">
        <f t="shared" si="162"/>
        <v>3</v>
      </c>
    </row>
    <row r="121" spans="1:63" ht="15.75" x14ac:dyDescent="0.25">
      <c r="A121" s="180" t="s">
        <v>19</v>
      </c>
      <c r="B121" s="252">
        <f t="shared" si="149"/>
        <v>83</v>
      </c>
      <c r="C121" s="253">
        <f t="shared" si="163"/>
        <v>7</v>
      </c>
      <c r="D121" s="260">
        <f>'Lodge Rank by District'!E88</f>
        <v>93</v>
      </c>
      <c r="E121" s="9" t="str">
        <f>'Active &amp; Renewals'!C17</f>
        <v>352</v>
      </c>
      <c r="F121" s="9" t="str">
        <f>'Active &amp; Renewals'!D17</f>
        <v>392</v>
      </c>
      <c r="G121" s="2">
        <f t="shared" si="150"/>
        <v>40</v>
      </c>
      <c r="H121" s="252" cm="1">
        <f t="array" ref="H121">_xlfn.IFS(G121&gt;20,11,G121&gt;11,10,G121&gt;2,9,G121&gt;0,8,G121&gt;-6,7,G121&gt;-11,6,G121&gt;-16,5,G121&gt;-21,4,G121&gt;-26,3,G121&gt;-31,2,G121&gt;-36,1,TRUE,0)</f>
        <v>11</v>
      </c>
      <c r="I121" s="113" t="str">
        <f>'Active &amp; Renewals'!E17</f>
        <v>81.77</v>
      </c>
      <c r="J121" s="252" cm="1">
        <f t="array" ref="J121">_xlfn.IFS(VALUE(I121)&gt;=90.5,11,VALUE(I121)&gt;=85.5,10,VALUE(I121)&gt;=80.5,9,VALUE(I121)&gt;=75.5,8,VALUE(I121)&gt;=74.5,7,VALUE(I121)&gt;=70.5,6,VALUE(I121)&gt;=64.5,5,VALUE(I121)&gt;=60.5,4,VALUE(I121)&gt;=54.5,3,VALUE(I121)&gt;=50.5,2,VALUE(I121)&gt;=44.5,1,TRUE,0)</f>
        <v>9</v>
      </c>
      <c r="K121" s="195">
        <v>1191</v>
      </c>
      <c r="L121" s="195">
        <f>Donations!B31</f>
        <v>640</v>
      </c>
      <c r="M121" s="267">
        <f t="shared" si="151"/>
        <v>-551</v>
      </c>
      <c r="N121" s="268">
        <f t="shared" si="152"/>
        <v>0.53736356003358521</v>
      </c>
      <c r="O121" s="252" cm="1">
        <f t="array" ref="O121">_xlfn.IFS(N121&gt;=115.5%,11,N121&gt;=110.5%,10,N121&gt;=100.5%,9,N121&gt;=99.5%,8,N121&gt;=89.5%,7,N121&gt;=75.5%,6,N121&gt;=60.5%,5,N121&gt;=45.5%,4,N121&gt;=30.5%,3,N121&gt;=15.5%,2,N121&gt;=0.5%,1,TRUE,0)</f>
        <v>4</v>
      </c>
      <c r="P121" s="12">
        <f t="shared" si="153"/>
        <v>1.8181818181818181</v>
      </c>
      <c r="Q121" s="252" cm="1">
        <f t="array" ref="Q121">_xlfn.IFS(P121&gt;10,11,P121&gt;=8.01,10,P121&gt;=6.01,9,P121&gt;=4.01,8,P121=4,7,P121&gt;=3.01,6,P121&gt;=2.01,5,P121&gt;=1.51,4,P121&gt;=1.01,3,P121&gt;=0.51,2,P121&gt;=0.01,1,TRUE,0)</f>
        <v>4</v>
      </c>
      <c r="R121" s="269">
        <v>1056</v>
      </c>
      <c r="S121" s="184">
        <f>Donations!C31</f>
        <v>352</v>
      </c>
      <c r="T121" s="279">
        <f t="shared" si="154"/>
        <v>1</v>
      </c>
      <c r="U121" s="10">
        <f t="shared" si="155"/>
        <v>-704</v>
      </c>
      <c r="V121" s="252" cm="1">
        <f t="array" ref="V121">_xlfn.IFS(T121&gt;=120%,11,T121&gt;=110.5%,10,T121&gt;=100.5%,9,T121&gt;99.9%,8,T121&gt;=85.5%,7,T121&gt;=72.5%,6,T121&gt;=65.5%,5,T121&gt;=55.5%,4,T121&gt;=45.5%,3,T121&gt;=35.5%,2,T121&gt;=20.5%,1,TRUE,0)</f>
        <v>8</v>
      </c>
      <c r="W121" s="269">
        <f t="shared" si="156"/>
        <v>52.8</v>
      </c>
      <c r="X121" s="184">
        <f>Donations!D31</f>
        <v>60</v>
      </c>
      <c r="Y121" s="269">
        <f t="shared" si="157"/>
        <v>0.17045454545454544</v>
      </c>
      <c r="Z121" s="252" cm="1">
        <f t="array" ref="Z121">_xlfn.IFS(Y121&gt;=0.26,11,Y121&gt;=0.21,10,Y121&gt;=0.16,9,Y121=0.15,8,Y121=0.14,7,Y121=0.13,6,Y121&gt;=0.11,5,Y121&gt;=0.09,4,Y121&gt;=0.07,3,Y121&gt;=0.04,2,Y121&gt;=0.01,1,TRUE,0)</f>
        <v>9</v>
      </c>
      <c r="AA121" s="294" t="str">
        <f>'Active &amp; Renewals'!F21</f>
        <v>SUPERIOR</v>
      </c>
      <c r="AB121" s="281" cm="1">
        <f t="array" ref="AB121">_xlfn.IFS(AA121="SUPERIOR",11,AA121="EXCELLENT",9,AA121="GOOD",7,AA121="LATE",5,AA121="NO GRADE",3,AA121="NA",2,AA121="NO REPORT",0)</f>
        <v>11</v>
      </c>
      <c r="AC121" s="294" t="str">
        <f>'Active &amp; Renewals'!H21</f>
        <v>SUPERIOR</v>
      </c>
      <c r="AD121" s="281" cm="1">
        <f t="array" ref="AD121">_xlfn.IFS(AC121="SUPERIOR",11,AC121="EXCELLENT",9,AC121="GOOD",7,AC121="LATE",5,AC121="NO GRADE",3,AC121="NA",2,AC121="NO REPORT",0)</f>
        <v>11</v>
      </c>
      <c r="AE121" s="284" t="str">
        <f>'Active &amp; Renewals'!J21</f>
        <v>NO REPORT</v>
      </c>
      <c r="AF121" s="281" cm="1">
        <f t="array" ref="AF121">_xlfn.IFS(AE121="SUPERIOR",11,AE121="EXCELLENT",9,AE121="GOOD",7,AE121="LATE",5,AE121="NO GRADE",3,AE121="NA",2,AE121="NO REPORT",0)</f>
        <v>0</v>
      </c>
      <c r="AG121" s="284" t="str">
        <f>'Active &amp; Renewals'!L21</f>
        <v>NO REPORT</v>
      </c>
      <c r="AH121" s="281" cm="1">
        <f t="array" ref="AH121">_xlfn.IFS(AG121="SUPERIOR",11,AG121="EXCELLENT",9,AG121="GOOD",7,AG121="LATE",5,AG121="NO GRADE",3,AG121="NA",2,AG121="NO REPORT",0)</f>
        <v>0</v>
      </c>
      <c r="AI121" s="252">
        <f t="shared" si="158"/>
        <v>22</v>
      </c>
      <c r="AJ121" s="188" t="s">
        <v>654</v>
      </c>
      <c r="AK121" s="252" cm="1">
        <f t="array" ref="AK121">_xlfn.IFS(AJ121="8/8",11,AJ121="7/8",7,AJ121="6/8",6,AJ121="5/8",5,AJ121="4/8",4,AJ121="3/8",3,AJ121="2/8",2,AJ121="1/8",1,AJ121="0/8",0,TRUE,0)</f>
        <v>1</v>
      </c>
      <c r="AL121" s="189">
        <v>0</v>
      </c>
      <c r="AM121" s="300" cm="1">
        <f t="array" ref="AM121">_xlfn.IFS(AL121&gt;6,11,AL121&gt;=4,10,AL121&gt;=2,9,AL121=1,8,TRUE,0)</f>
        <v>0</v>
      </c>
      <c r="AN121" s="184">
        <f>Donations!E31</f>
        <v>100</v>
      </c>
      <c r="AO121" s="300" cm="1">
        <f t="array" ref="AO121">_xlfn.IFS(AN121&gt;125,11,AN121&gt;=116,10,AN121&gt;=101,9,AN121=100,8,AN121&gt;=86,7,AN121&gt;=71,6,AN121&gt;=61,5,AN121&gt;=51,4,AN121&gt;=41,3,AN121&gt;=26,2,AN121&gt;=1,1,TRUE,0)</f>
        <v>8</v>
      </c>
      <c r="AP121" s="184">
        <f>Donations!F31</f>
        <v>0</v>
      </c>
      <c r="AQ121" s="300" cm="1">
        <f t="array" ref="AQ121">_xlfn.IFS(AP121&gt;600,11,AP121&gt;=551,10,AP121&gt;=501,9,AP121=500,8,AP121&gt;=326,7,AP121&gt;=251,6,AP121&gt;=201,5,AP121&gt;=151,4,AP121&gt;=101,3,AP121&gt;=76,2,AP121&gt;=1,1,TRUE,0)</f>
        <v>0</v>
      </c>
      <c r="AR121" s="350"/>
      <c r="AS121" s="350"/>
      <c r="AT121" s="350"/>
      <c r="AU121" s="353"/>
      <c r="AV121" s="191">
        <v>2</v>
      </c>
      <c r="AW121" s="191">
        <v>0</v>
      </c>
      <c r="AX121" s="187">
        <v>2</v>
      </c>
      <c r="AY121" s="252">
        <f t="shared" si="160"/>
        <v>4</v>
      </c>
      <c r="AZ121" s="192"/>
      <c r="BA121" s="181"/>
      <c r="BB121" s="193">
        <v>8000</v>
      </c>
      <c r="BC121" s="252" cm="1">
        <f t="array" ref="BC121">_xlfn.IFS(BB121=0,11,TRUE,0)</f>
        <v>0</v>
      </c>
      <c r="BD121" s="183">
        <v>0</v>
      </c>
      <c r="BE121" s="183">
        <v>0</v>
      </c>
      <c r="BF121" s="183">
        <v>1</v>
      </c>
      <c r="BG121" s="252">
        <f t="shared" si="161"/>
        <v>1</v>
      </c>
      <c r="BH121" s="183">
        <v>0</v>
      </c>
      <c r="BI121" s="183">
        <v>0</v>
      </c>
      <c r="BJ121" s="183">
        <v>2</v>
      </c>
      <c r="BK121" s="252">
        <f t="shared" si="162"/>
        <v>2</v>
      </c>
    </row>
    <row r="122" spans="1:63" ht="15.75" x14ac:dyDescent="0.25">
      <c r="A122" s="180" t="s">
        <v>18</v>
      </c>
      <c r="B122" s="252">
        <f t="shared" si="149"/>
        <v>124</v>
      </c>
      <c r="C122" s="253">
        <f t="shared" si="163"/>
        <v>1</v>
      </c>
      <c r="D122" s="260">
        <f>'Lodge Rank by District'!E89</f>
        <v>56</v>
      </c>
      <c r="E122" s="9" t="str">
        <f>'Active &amp; Renewals'!C21</f>
        <v>510</v>
      </c>
      <c r="F122" s="9" t="str">
        <f>'Active &amp; Renewals'!D21</f>
        <v>506</v>
      </c>
      <c r="G122" s="2">
        <f t="shared" si="150"/>
        <v>-4</v>
      </c>
      <c r="H122" s="252" cm="1">
        <f t="array" ref="H122">_xlfn.IFS(G122&gt;20,11,G122&gt;11,10,G122&gt;2,9,G122&gt;0,8,G122&gt;-6,7,G122&gt;-11,6,G122&gt;-16,5,G122&gt;-21,4,G122&gt;-26,3,G122&gt;-31,2,G122&gt;-36,1,TRUE,0)</f>
        <v>7</v>
      </c>
      <c r="I122" s="113" t="str">
        <f>'Active &amp; Renewals'!E21</f>
        <v>87.84</v>
      </c>
      <c r="J122" s="252" cm="1">
        <f t="array" ref="J122">_xlfn.IFS(VALUE(I122)&gt;=90.5,11,VALUE(I122)&gt;=85.5,10,VALUE(I122)&gt;=80.5,9,VALUE(I122)&gt;=75.5,8,VALUE(I122)&gt;=74.5,7,VALUE(I122)&gt;=70.5,6,VALUE(I122)&gt;=64.5,5,VALUE(I122)&gt;=60.5,4,VALUE(I122)&gt;=54.5,3,VALUE(I122)&gt;=50.5,2,VALUE(I122)&gt;=44.5,1,TRUE,0)</f>
        <v>10</v>
      </c>
      <c r="K122" s="195">
        <v>498.93</v>
      </c>
      <c r="L122" s="195">
        <f>Donations!B16</f>
        <v>643.70000000000005</v>
      </c>
      <c r="M122" s="267">
        <f t="shared" si="151"/>
        <v>144.77000000000004</v>
      </c>
      <c r="N122" s="268">
        <f t="shared" si="152"/>
        <v>1.2901609444210611</v>
      </c>
      <c r="O122" s="252" cm="1">
        <f t="array" ref="O122">_xlfn.IFS(N122&gt;=115.5%,11,N122&gt;=110.5%,10,N122&gt;=100.5%,9,N122&gt;=99.5%,8,N122&gt;=89.5%,7,N122&gt;=75.5%,6,N122&gt;=60.5%,5,N122&gt;=45.5%,4,N122&gt;=30.5%,3,N122&gt;=15.5%,2,N122&gt;=0.5%,1,TRUE,0)</f>
        <v>11</v>
      </c>
      <c r="P122" s="12">
        <f t="shared" si="153"/>
        <v>1.2621568627450981</v>
      </c>
      <c r="Q122" s="252" cm="1">
        <f t="array" ref="Q122">_xlfn.IFS(P122&gt;10,11,P122&gt;=8.01,10,P122&gt;=6.01,9,P122&gt;=4.01,8,P122=4,7,P122&gt;=3.01,6,P122&gt;=2.01,5,P122&gt;=1.51,4,P122&gt;=1.01,3,P122&gt;=0.51,2,P122&gt;=0.01,1,TRUE,0)</f>
        <v>3</v>
      </c>
      <c r="R122" s="269">
        <v>1530</v>
      </c>
      <c r="S122" s="184">
        <f>Donations!C16</f>
        <v>1785</v>
      </c>
      <c r="T122" s="279">
        <f t="shared" si="154"/>
        <v>3.5</v>
      </c>
      <c r="U122" s="10">
        <f t="shared" si="155"/>
        <v>255</v>
      </c>
      <c r="V122" s="252" cm="1">
        <f t="array" ref="V122">_xlfn.IFS(T122&gt;=120%,11,T122&gt;=110.5%,10,T122&gt;=100.5%,9,T122&gt;99.9%,8,T122&gt;=85.5%,7,T122&gt;=72.5%,6,T122&gt;=65.5%,5,T122&gt;=55.5%,4,T122&gt;=45.5%,3,T122&gt;=35.5%,2,T122&gt;=20.5%,1,TRUE,0)</f>
        <v>11</v>
      </c>
      <c r="W122" s="269">
        <f t="shared" si="156"/>
        <v>76.5</v>
      </c>
      <c r="X122" s="184">
        <f>Donations!D16</f>
        <v>125</v>
      </c>
      <c r="Y122" s="269">
        <f t="shared" si="157"/>
        <v>0.24509803921568626</v>
      </c>
      <c r="Z122" s="252" cm="1">
        <f t="array" ref="Z122">_xlfn.IFS(Y122&gt;=0.26,11,Y122&gt;=0.21,10,Y122&gt;=0.16,9,Y122=0.15,8,Y122=0.14,7,Y122=0.13,6,Y122&gt;=0.11,5,Y122&gt;=0.09,4,Y122&gt;=0.07,3,Y122&gt;=0.04,2,Y122&gt;=0.01,1,TRUE,0)</f>
        <v>10</v>
      </c>
      <c r="AA122" s="294" t="str">
        <f>'Active &amp; Renewals'!F21</f>
        <v>SUPERIOR</v>
      </c>
      <c r="AB122" s="281" cm="1">
        <f t="array" ref="AB122">_xlfn.IFS(AA122="SUPERIOR",11,AA122="EXCELLENT",9,AA122="GOOD",7,AA122="LATE",5,AA122="NO GRADE",3,AA122="NA",2,AA122="NO REPORT",0)</f>
        <v>11</v>
      </c>
      <c r="AC122" s="294" t="str">
        <f>'Active &amp; Renewals'!H21</f>
        <v>SUPERIOR</v>
      </c>
      <c r="AD122" s="281" cm="1">
        <f t="array" ref="AD122">_xlfn.IFS(AC122="SUPERIOR",11,AC122="EXCELLENT",9,AC122="GOOD",7,AC122="LATE",5,AC122="NO GRADE",3,AC122="NA",2,AC122="NO REPORT",0)</f>
        <v>11</v>
      </c>
      <c r="AE122" s="284" t="str">
        <f>'Active &amp; Renewals'!J21</f>
        <v>NO REPORT</v>
      </c>
      <c r="AF122" s="281" cm="1">
        <f t="array" ref="AF122">_xlfn.IFS(AE122="SUPERIOR",11,AE122="EXCELLENT",9,AE122="GOOD",7,AE122="LATE",5,AE122="NO GRADE",3,AE122="NA",2,AE122="NO REPORT",0)</f>
        <v>0</v>
      </c>
      <c r="AG122" s="284" t="str">
        <f>'Active &amp; Renewals'!L21</f>
        <v>NO REPORT</v>
      </c>
      <c r="AH122" s="281" cm="1">
        <f t="array" ref="AH122">_xlfn.IFS(AG122="SUPERIOR",11,AG122="EXCELLENT",9,AG122="GOOD",7,AG122="LATE",5,AG122="NO GRADE",3,AG122="NA",2,AG122="NO REPORT",0)</f>
        <v>0</v>
      </c>
      <c r="AI122" s="252">
        <f t="shared" si="158"/>
        <v>22</v>
      </c>
      <c r="AJ122" s="188" t="s">
        <v>655</v>
      </c>
      <c r="AK122" s="252" cm="1">
        <f t="array" ref="AK122">_xlfn.IFS(AJ122="8/8",11,AJ122="7/8",7,AJ122="6/8",6,AJ122="5/8",5,AJ122="4/8",4,AJ122="3/8",3,AJ122="2/8",2,AJ122="1/8",1,AJ122="0/8",0,TRUE,0)</f>
        <v>11</v>
      </c>
      <c r="AL122" s="189">
        <v>0</v>
      </c>
      <c r="AM122" s="300" cm="1">
        <f t="array" ref="AM122">_xlfn.IFS(AL122&gt;6,11,AL122&gt;=4,10,AL122&gt;=2,9,AL122=1,8,TRUE,0)</f>
        <v>0</v>
      </c>
      <c r="AN122" s="184">
        <f>Donations!E16</f>
        <v>100</v>
      </c>
      <c r="AO122" s="300" cm="1">
        <f t="array" ref="AO122">_xlfn.IFS(AN122&gt;125,11,AN122&gt;=116,10,AN122&gt;=101,9,AN122=100,8,AN122&gt;=86,7,AN122&gt;=71,6,AN122&gt;=61,5,AN122&gt;=51,4,AN122&gt;=41,3,AN122&gt;=26,2,AN122&gt;=1,1,TRUE,0)</f>
        <v>8</v>
      </c>
      <c r="AP122" s="184">
        <f>Donations!F16</f>
        <v>0</v>
      </c>
      <c r="AQ122" s="300" cm="1">
        <f t="array" ref="AQ122">_xlfn.IFS(AP122&gt;600,11,AP122&gt;=551,10,AP122&gt;=501,9,AP122=500,8,AP122&gt;=326,7,AP122&gt;=251,6,AP122&gt;=201,5,AP122&gt;=151,4,AP122&gt;=101,3,AP122&gt;=76,2,AP122&gt;=1,1,TRUE,0)</f>
        <v>0</v>
      </c>
      <c r="AR122" s="350"/>
      <c r="AS122" s="350"/>
      <c r="AT122" s="350"/>
      <c r="AU122" s="353"/>
      <c r="AV122" s="191">
        <v>3</v>
      </c>
      <c r="AW122" s="191">
        <v>1</v>
      </c>
      <c r="AX122" s="187">
        <v>2</v>
      </c>
      <c r="AY122" s="252">
        <f t="shared" si="160"/>
        <v>6</v>
      </c>
      <c r="AZ122" s="192"/>
      <c r="BA122" s="181"/>
      <c r="BB122" s="193">
        <v>0</v>
      </c>
      <c r="BC122" s="252" cm="1">
        <f t="array" ref="BC122">_xlfn.IFS(BB122=0,11,TRUE,0)</f>
        <v>11</v>
      </c>
      <c r="BD122" s="183">
        <v>4</v>
      </c>
      <c r="BE122" s="183">
        <v>0</v>
      </c>
      <c r="BF122" s="183">
        <v>4</v>
      </c>
      <c r="BG122" s="252">
        <f t="shared" si="161"/>
        <v>8</v>
      </c>
      <c r="BH122" s="183">
        <v>3</v>
      </c>
      <c r="BI122" s="183">
        <v>0</v>
      </c>
      <c r="BJ122" s="183">
        <v>3</v>
      </c>
      <c r="BK122" s="252">
        <f t="shared" si="162"/>
        <v>6</v>
      </c>
    </row>
    <row r="123" spans="1:63" ht="15.75" x14ac:dyDescent="0.25">
      <c r="A123" s="180" t="s">
        <v>17</v>
      </c>
      <c r="B123" s="252">
        <f t="shared" si="149"/>
        <v>110</v>
      </c>
      <c r="C123" s="253">
        <f t="shared" si="163"/>
        <v>3</v>
      </c>
      <c r="D123" s="260">
        <f>'Lodge Rank by District'!E90</f>
        <v>74</v>
      </c>
      <c r="E123" s="9" t="str">
        <f>'Active &amp; Renewals'!C26</f>
        <v>263</v>
      </c>
      <c r="F123" s="9" t="str">
        <f>'Active &amp; Renewals'!D26</f>
        <v>267</v>
      </c>
      <c r="G123" s="2">
        <f t="shared" si="150"/>
        <v>4</v>
      </c>
      <c r="H123" s="252" cm="1">
        <f t="array" ref="H123">_xlfn.IFS(G123&gt;20,11,G123&gt;11,10,G123&gt;2,9,G123&gt;0,8,G123&gt;-6,7,G123&gt;-11,6,G123&gt;-16,5,G123&gt;-21,4,G123&gt;-26,3,G123&gt;-31,2,G123&gt;-36,1,TRUE,0)</f>
        <v>9</v>
      </c>
      <c r="I123" s="113" t="str">
        <f>'Active &amp; Renewals'!E26</f>
        <v>76.43</v>
      </c>
      <c r="J123" s="252" cm="1">
        <f t="array" ref="J123">_xlfn.IFS(VALUE(I123)&gt;=90.5,11,VALUE(I123)&gt;=85.5,10,VALUE(I123)&gt;=80.5,9,VALUE(I123)&gt;=75.5,8,VALUE(I123)&gt;=74.5,7,VALUE(I123)&gt;=70.5,6,VALUE(I123)&gt;=64.5,5,VALUE(I123)&gt;=60.5,4,VALUE(I123)&gt;=54.5,3,VALUE(I123)&gt;=50.5,2,VALUE(I123)&gt;=44.5,1,TRUE,0)</f>
        <v>8</v>
      </c>
      <c r="K123" s="195">
        <v>1075</v>
      </c>
      <c r="L123" s="195">
        <f>Donations!B49</f>
        <v>480</v>
      </c>
      <c r="M123" s="267">
        <f t="shared" si="151"/>
        <v>-595</v>
      </c>
      <c r="N123" s="268">
        <f t="shared" si="152"/>
        <v>0.44651162790697674</v>
      </c>
      <c r="O123" s="252" cm="1">
        <f t="array" ref="O123">_xlfn.IFS(N123&gt;=115.5%,11,N123&gt;=110.5%,10,N123&gt;=100.5%,9,N123&gt;=99.5%,8,N123&gt;=89.5%,7,N123&gt;=75.5%,6,N123&gt;=60.5%,5,N123&gt;=45.5%,4,N123&gt;=30.5%,3,N123&gt;=15.5%,2,N123&gt;=0.5%,1,TRUE,0)</f>
        <v>3</v>
      </c>
      <c r="P123" s="12">
        <f t="shared" si="153"/>
        <v>1.8250950570342206</v>
      </c>
      <c r="Q123" s="252" cm="1">
        <f t="array" ref="Q123">_xlfn.IFS(P123&gt;10,11,P123&gt;=8.01,10,P123&gt;=6.01,9,P123&gt;=4.01,8,P123=4,7,P123&gt;=3.01,6,P123&gt;=2.01,5,P123&gt;=1.51,4,P123&gt;=1.01,3,P123&gt;=0.51,2,P123&gt;=0.01,1,TRUE,0)</f>
        <v>4</v>
      </c>
      <c r="R123" s="269">
        <v>789</v>
      </c>
      <c r="S123" s="184">
        <f>Donations!C49</f>
        <v>790</v>
      </c>
      <c r="T123" s="279">
        <f t="shared" si="154"/>
        <v>3.0038022813688214</v>
      </c>
      <c r="U123" s="10">
        <f t="shared" si="155"/>
        <v>1</v>
      </c>
      <c r="V123" s="252" cm="1">
        <f t="array" ref="V123">_xlfn.IFS(T123&gt;=120%,11,T123&gt;=110.5%,10,T123&gt;=100.5%,9,T123&gt;99.9%,8,T123&gt;=85.5%,7,T123&gt;=72.5%,6,T123&gt;=65.5%,5,T123&gt;=55.5%,4,T123&gt;=45.5%,3,T123&gt;=35.5%,2,T123&gt;=20.5%,1,TRUE,0)</f>
        <v>11</v>
      </c>
      <c r="W123" s="269">
        <f t="shared" si="156"/>
        <v>39.449999999999996</v>
      </c>
      <c r="X123" s="184">
        <f>Donations!D49</f>
        <v>60</v>
      </c>
      <c r="Y123" s="269">
        <f t="shared" si="157"/>
        <v>0.22813688212927757</v>
      </c>
      <c r="Z123" s="252" cm="1">
        <f t="array" ref="Z123">_xlfn.IFS(Y123&gt;=0.26,11,Y123&gt;=0.21,10,Y123&gt;=0.16,9,Y123=0.15,8,Y123=0.14,7,Y123=0.13,6,Y123&gt;=0.11,5,Y123&gt;=0.09,4,Y123&gt;=0.07,3,Y123&gt;=0.04,2,Y123&gt;=0.01,1,TRUE,0)</f>
        <v>10</v>
      </c>
      <c r="AA123" s="294" t="str">
        <f>'Active &amp; Renewals'!F26</f>
        <v>EXCELLENT</v>
      </c>
      <c r="AB123" s="281" cm="1">
        <f t="array" ref="AB123">_xlfn.IFS(AA123="SUPERIOR",11,AA123="EXCELLENT",9,AA123="GOOD",7,AA123="LATE",5,AA123="NO GRADE",3,AA123="NA",2,AA123="NO REPORT",0)</f>
        <v>9</v>
      </c>
      <c r="AC123" s="294" t="str">
        <f>'Active &amp; Renewals'!H26</f>
        <v>GOOD</v>
      </c>
      <c r="AD123" s="281" cm="1">
        <f t="array" ref="AD123">_xlfn.IFS(AC123="SUPERIOR",11,AC123="EXCELLENT",9,AC123="GOOD",7,AC123="LATE",5,AC123="NO GRADE",3,AC123="NA",2,AC123="NO REPORT",0)</f>
        <v>7</v>
      </c>
      <c r="AE123" s="284" t="str">
        <f>'Active &amp; Renewals'!J26</f>
        <v>NO REPORT</v>
      </c>
      <c r="AF123" s="281" cm="1">
        <f t="array" ref="AF123">_xlfn.IFS(AE123="SUPERIOR",11,AE123="EXCELLENT",9,AE123="GOOD",7,AE123="LATE",5,AE123="NO GRADE",3,AE123="NA",2,AE123="NO REPORT",0)</f>
        <v>0</v>
      </c>
      <c r="AG123" s="284" t="str">
        <f>'Active &amp; Renewals'!L26</f>
        <v>NO REPORT</v>
      </c>
      <c r="AH123" s="281" cm="1">
        <f t="array" ref="AH123">_xlfn.IFS(AG123="SUPERIOR",11,AG123="EXCELLENT",9,AG123="GOOD",7,AG123="LATE",5,AG123="NO GRADE",3,AG123="NA",2,AG123="NO REPORT",0)</f>
        <v>0</v>
      </c>
      <c r="AI123" s="252">
        <f t="shared" si="158"/>
        <v>16</v>
      </c>
      <c r="AJ123" s="188" t="s">
        <v>658</v>
      </c>
      <c r="AK123" s="252" cm="1">
        <f t="array" ref="AK123">_xlfn.IFS(AJ123="8/8",11,AJ123="7/8",7,AJ123="6/8",6,AJ123="5/8",5,AJ123="4/8",4,AJ123="3/8",3,AJ123="2/8",2,AJ123="1/8",1,AJ123="0/8",0,TRUE,0)</f>
        <v>4</v>
      </c>
      <c r="AL123" s="189">
        <v>1</v>
      </c>
      <c r="AM123" s="300" cm="1">
        <f t="array" ref="AM123">_xlfn.IFS(AL123&gt;6,11,AL123&gt;=4,10,AL123&gt;=2,9,AL123=1,8,TRUE,0)</f>
        <v>8</v>
      </c>
      <c r="AN123" s="184">
        <f>Donations!E49</f>
        <v>100</v>
      </c>
      <c r="AO123" s="300" cm="1">
        <f t="array" ref="AO123">_xlfn.IFS(AN123&gt;125,11,AN123&gt;=116,10,AN123&gt;=101,9,AN123=100,8,AN123&gt;=86,7,AN123&gt;=71,6,AN123&gt;=61,5,AN123&gt;=51,4,AN123&gt;=41,3,AN123&gt;=26,2,AN123&gt;=1,1,TRUE,0)</f>
        <v>8</v>
      </c>
      <c r="AP123" s="184">
        <f>Donations!F49</f>
        <v>100</v>
      </c>
      <c r="AQ123" s="300" cm="1">
        <f t="array" ref="AQ123">_xlfn.IFS(AP123&gt;600,11,AP123&gt;=551,10,AP123&gt;=501,9,AP123=500,8,AP123&gt;=326,7,AP123&gt;=251,6,AP123&gt;=201,5,AP123&gt;=151,4,AP123&gt;=101,3,AP123&gt;=76,2,AP123&gt;=1,1,TRUE,0)</f>
        <v>2</v>
      </c>
      <c r="AR123" s="350"/>
      <c r="AS123" s="350"/>
      <c r="AT123" s="350"/>
      <c r="AU123" s="353"/>
      <c r="AV123" s="191">
        <v>1</v>
      </c>
      <c r="AW123" s="191">
        <v>3</v>
      </c>
      <c r="AX123" s="187">
        <v>3</v>
      </c>
      <c r="AY123" s="252">
        <f t="shared" si="160"/>
        <v>7</v>
      </c>
      <c r="AZ123" s="192"/>
      <c r="BA123" s="181"/>
      <c r="BB123" s="193">
        <v>0</v>
      </c>
      <c r="BC123" s="252" cm="1">
        <f t="array" ref="BC123">_xlfn.IFS(BB123=0,11,TRUE,0)</f>
        <v>11</v>
      </c>
      <c r="BD123" s="183">
        <v>2</v>
      </c>
      <c r="BE123" s="183">
        <v>2</v>
      </c>
      <c r="BF123" s="183">
        <v>2</v>
      </c>
      <c r="BG123" s="252">
        <f t="shared" si="161"/>
        <v>6</v>
      </c>
      <c r="BH123" s="183">
        <v>0</v>
      </c>
      <c r="BI123" s="183">
        <v>0</v>
      </c>
      <c r="BJ123" s="183">
        <v>3</v>
      </c>
      <c r="BK123" s="252">
        <f t="shared" si="162"/>
        <v>3</v>
      </c>
    </row>
    <row r="124" spans="1:63" ht="15.75" x14ac:dyDescent="0.25">
      <c r="A124" s="180" t="s">
        <v>16</v>
      </c>
      <c r="B124" s="252">
        <f t="shared" si="149"/>
        <v>101</v>
      </c>
      <c r="C124" s="253">
        <f t="shared" si="163"/>
        <v>4</v>
      </c>
      <c r="D124" s="260">
        <f>'Lodge Rank by District'!E91</f>
        <v>83</v>
      </c>
      <c r="E124" s="9" t="str">
        <f>'Active &amp; Renewals'!C54</f>
        <v>553</v>
      </c>
      <c r="F124" s="9" t="str">
        <f>'Active &amp; Renewals'!D54</f>
        <v>627</v>
      </c>
      <c r="G124" s="2">
        <f t="shared" si="150"/>
        <v>74</v>
      </c>
      <c r="H124" s="252" cm="1">
        <f t="array" ref="H124">_xlfn.IFS(G124&gt;20,11,G124&gt;11,10,G124&gt;2,9,G124&gt;0,8,G124&gt;-6,7,G124&gt;-11,6,G124&gt;-16,5,G124&gt;-21,4,G124&gt;-26,3,G124&gt;-31,2,G124&gt;-36,1,TRUE,0)</f>
        <v>11</v>
      </c>
      <c r="I124" s="113" t="str">
        <f>'Active &amp; Renewals'!E54</f>
        <v>88.79</v>
      </c>
      <c r="J124" s="252" cm="1">
        <f t="array" ref="J124">_xlfn.IFS(VALUE(I124)&gt;=90.5,11,VALUE(I124)&gt;=85.5,10,VALUE(I124)&gt;=80.5,9,VALUE(I124)&gt;=75.5,8,VALUE(I124)&gt;=74.5,7,VALUE(I124)&gt;=70.5,6,VALUE(I124)&gt;=64.5,5,VALUE(I124)&gt;=60.5,4,VALUE(I124)&gt;=54.5,3,VALUE(I124)&gt;=50.5,2,VALUE(I124)&gt;=44.5,1,TRUE,0)</f>
        <v>10</v>
      </c>
      <c r="K124" s="195">
        <v>300</v>
      </c>
      <c r="L124" s="195">
        <f>Donations!B67</f>
        <v>325</v>
      </c>
      <c r="M124" s="267">
        <f t="shared" si="151"/>
        <v>25</v>
      </c>
      <c r="N124" s="268">
        <f t="shared" si="152"/>
        <v>1.0833333333333333</v>
      </c>
      <c r="O124" s="252" cm="1">
        <f t="array" ref="O124">_xlfn.IFS(N124&gt;=115.5%,11,N124&gt;=110.5%,10,N124&gt;=100.5%,9,N124&gt;=99.5%,8,N124&gt;=89.5%,7,N124&gt;=75.5%,6,N124&gt;=60.5%,5,N124&gt;=45.5%,4,N124&gt;=30.5%,3,N124&gt;=15.5%,2,N124&gt;=0.5%,1,TRUE,0)</f>
        <v>9</v>
      </c>
      <c r="P124" s="12">
        <f t="shared" si="153"/>
        <v>0.58770343580470163</v>
      </c>
      <c r="Q124" s="252" cm="1">
        <f t="array" ref="Q124">_xlfn.IFS(P124&gt;10,11,P124&gt;=8.01,10,P124&gt;=6.01,9,P124&gt;=4.01,8,P124=4,7,P124&gt;=3.01,6,P124&gt;=2.01,5,P124&gt;=1.51,4,P124&gt;=1.01,3,P124&gt;=0.51,2,P124&gt;=0.01,1,TRUE,0)</f>
        <v>2</v>
      </c>
      <c r="R124" s="269">
        <v>1659</v>
      </c>
      <c r="S124" s="184">
        <f>Donations!C67</f>
        <v>553</v>
      </c>
      <c r="T124" s="279">
        <f t="shared" si="154"/>
        <v>1</v>
      </c>
      <c r="U124" s="10">
        <f t="shared" si="155"/>
        <v>-1106</v>
      </c>
      <c r="V124" s="252" cm="1">
        <f t="array" ref="V124">_xlfn.IFS(T124&gt;=120%,11,T124&gt;=110.5%,10,T124&gt;=100.5%,9,T124&gt;99.9%,8,T124&gt;=85.5%,7,T124&gt;=72.5%,6,T124&gt;=65.5%,5,T124&gt;=55.5%,4,T124&gt;=45.5%,3,T124&gt;=35.5%,2,T124&gt;=20.5%,1,TRUE,0)</f>
        <v>8</v>
      </c>
      <c r="W124" s="269">
        <f t="shared" si="156"/>
        <v>82.95</v>
      </c>
      <c r="X124" s="184">
        <f>Donations!D67</f>
        <v>200</v>
      </c>
      <c r="Y124" s="269">
        <f t="shared" si="157"/>
        <v>0.36166365280289331</v>
      </c>
      <c r="Z124" s="252" cm="1">
        <f t="array" ref="Z124">_xlfn.IFS(Y124&gt;=0.26,11,Y124&gt;=0.21,10,Y124&gt;=0.16,9,Y124=0.15,8,Y124=0.14,7,Y124=0.13,6,Y124&gt;=0.11,5,Y124&gt;=0.09,4,Y124&gt;=0.07,3,Y124&gt;=0.04,2,Y124&gt;=0.01,1,TRUE,0)</f>
        <v>11</v>
      </c>
      <c r="AA124" s="294" t="str">
        <f>'Active &amp; Renewals'!F54</f>
        <v>NO GRADE</v>
      </c>
      <c r="AB124" s="281" cm="1">
        <f t="array" ref="AB124">_xlfn.IFS(AA124="SUPERIOR",11,AA124="EXCELLENT",9,AA124="GOOD",7,AA124="LATE",5,AA124="NO GRADE",3,AA124="NA",2,AA124="NO REPORT",0)</f>
        <v>3</v>
      </c>
      <c r="AC124" s="294" t="str">
        <f>'Active &amp; Renewals'!H54</f>
        <v>EXCELLENT</v>
      </c>
      <c r="AD124" s="281" cm="1">
        <f t="array" ref="AD124">_xlfn.IFS(AC124="SUPERIOR",11,AC124="EXCELLENT",9,AC124="GOOD",7,AC124="LATE",5,AC124="NO GRADE",3,AC124="NA",2,AC124="NO REPORT",0)</f>
        <v>9</v>
      </c>
      <c r="AE124" s="284" t="str">
        <f>'Active &amp; Renewals'!J54</f>
        <v>NO REPORT</v>
      </c>
      <c r="AF124" s="281" cm="1">
        <f t="array" ref="AF124">_xlfn.IFS(AE124="SUPERIOR",11,AE124="EXCELLENT",9,AE124="GOOD",7,AE124="LATE",5,AE124="NO GRADE",3,AE124="NA",2,AE124="NO REPORT",0)</f>
        <v>0</v>
      </c>
      <c r="AG124" s="284" t="str">
        <f>'Active &amp; Renewals'!L54</f>
        <v>NO REPORT</v>
      </c>
      <c r="AH124" s="281" cm="1">
        <f t="array" ref="AH124">_xlfn.IFS(AG124="SUPERIOR",11,AG124="EXCELLENT",9,AG124="GOOD",7,AG124="LATE",5,AG124="NO GRADE",3,AG124="NA",2,AG124="NO REPORT",0)</f>
        <v>0</v>
      </c>
      <c r="AI124" s="252">
        <f t="shared" si="158"/>
        <v>12</v>
      </c>
      <c r="AJ124" s="188" t="s">
        <v>661</v>
      </c>
      <c r="AK124" s="252" cm="1">
        <f t="array" ref="AK124">_xlfn.IFS(AJ124="8/8",11,AJ124="7/8",7,AJ124="6/8",6,AJ124="5/8",5,AJ124="4/8",4,AJ124="3/8",3,AJ124="2/8",2,AJ124="1/8",1,AJ124="0/8",0,TRUE,0)</f>
        <v>2</v>
      </c>
      <c r="AL124" s="189">
        <v>1</v>
      </c>
      <c r="AM124" s="300" cm="1">
        <f t="array" ref="AM124">_xlfn.IFS(AL124&gt;6,11,AL124&gt;=4,10,AL124&gt;=2,9,AL124=1,8,TRUE,0)</f>
        <v>8</v>
      </c>
      <c r="AN124" s="184">
        <f>Donations!E67</f>
        <v>100</v>
      </c>
      <c r="AO124" s="300" cm="1">
        <f t="array" ref="AO124">_xlfn.IFS(AN124&gt;125,11,AN124&gt;=116,10,AN124&gt;=101,9,AN124=100,8,AN124&gt;=86,7,AN124&gt;=71,6,AN124&gt;=61,5,AN124&gt;=51,4,AN124&gt;=41,3,AN124&gt;=26,2,AN124&gt;=1,1,TRUE,0)</f>
        <v>8</v>
      </c>
      <c r="AP124" s="184">
        <f>Donations!F67</f>
        <v>100</v>
      </c>
      <c r="AQ124" s="300" cm="1">
        <f t="array" ref="AQ124">_xlfn.IFS(AP124&gt;600,11,AP124&gt;=551,10,AP124&gt;=501,9,AP124=500,8,AP124&gt;=326,7,AP124&gt;=251,6,AP124&gt;=201,5,AP124&gt;=151,4,AP124&gt;=101,3,AP124&gt;=76,2,AP124&gt;=1,1,TRUE,0)</f>
        <v>2</v>
      </c>
      <c r="AR124" s="350"/>
      <c r="AS124" s="350"/>
      <c r="AT124" s="350"/>
      <c r="AU124" s="353"/>
      <c r="AV124" s="191">
        <v>1</v>
      </c>
      <c r="AW124" s="191">
        <v>0</v>
      </c>
      <c r="AX124" s="187">
        <v>3</v>
      </c>
      <c r="AY124" s="252">
        <f t="shared" si="160"/>
        <v>4</v>
      </c>
      <c r="AZ124" s="192"/>
      <c r="BA124" s="181"/>
      <c r="BB124" s="193">
        <v>0</v>
      </c>
      <c r="BC124" s="252" cm="1">
        <f t="array" ref="BC124">_xlfn.IFS(BB124=0,11,TRUE,0)</f>
        <v>11</v>
      </c>
      <c r="BD124" s="183">
        <v>0</v>
      </c>
      <c r="BE124" s="183">
        <v>0</v>
      </c>
      <c r="BF124" s="183">
        <v>1</v>
      </c>
      <c r="BG124" s="252">
        <f t="shared" si="161"/>
        <v>1</v>
      </c>
      <c r="BH124" s="183">
        <v>0</v>
      </c>
      <c r="BI124" s="183">
        <v>0</v>
      </c>
      <c r="BJ124" s="183">
        <v>2</v>
      </c>
      <c r="BK124" s="252">
        <f t="shared" si="162"/>
        <v>2</v>
      </c>
    </row>
    <row r="125" spans="1:63" ht="15.75" x14ac:dyDescent="0.25">
      <c r="A125" s="180" t="s">
        <v>15</v>
      </c>
      <c r="B125" s="252">
        <f t="shared" si="149"/>
        <v>112</v>
      </c>
      <c r="C125" s="253">
        <f t="shared" si="163"/>
        <v>2</v>
      </c>
      <c r="D125" s="260">
        <f>'Lodge Rank by District'!E92</f>
        <v>73</v>
      </c>
      <c r="E125" s="9" t="str">
        <f>'Active &amp; Renewals'!C79</f>
        <v>784</v>
      </c>
      <c r="F125" s="9" t="str">
        <f>'Active &amp; Renewals'!D79</f>
        <v>777</v>
      </c>
      <c r="G125" s="2">
        <f t="shared" si="150"/>
        <v>-7</v>
      </c>
      <c r="H125" s="252" cm="1">
        <f t="array" ref="H125">_xlfn.IFS(G125&gt;20,11,G125&gt;11,10,G125&gt;2,9,G125&gt;0,8,G125&gt;-6,7,G125&gt;-11,6,G125&gt;-16,5,G125&gt;-21,4,G125&gt;-26,3,G125&gt;-31,2,G125&gt;-36,1,TRUE,0)</f>
        <v>6</v>
      </c>
      <c r="I125" s="113" t="str">
        <f>'Active &amp; Renewals'!E79</f>
        <v>89.29</v>
      </c>
      <c r="J125" s="252" cm="1">
        <f t="array" ref="J125">_xlfn.IFS(VALUE(I125)&gt;=90.5,11,VALUE(I125)&gt;=85.5,10,VALUE(I125)&gt;=80.5,9,VALUE(I125)&gt;=75.5,8,VALUE(I125)&gt;=74.5,7,VALUE(I125)&gt;=70.5,6,VALUE(I125)&gt;=64.5,5,VALUE(I125)&gt;=60.5,4,VALUE(I125)&gt;=54.5,3,VALUE(I125)&gt;=50.5,2,VALUE(I125)&gt;=44.5,1,TRUE,0)</f>
        <v>10</v>
      </c>
      <c r="K125" s="195">
        <v>1012</v>
      </c>
      <c r="L125" s="195">
        <f>Donations!B14</f>
        <v>1110</v>
      </c>
      <c r="M125" s="267">
        <f t="shared" si="151"/>
        <v>98</v>
      </c>
      <c r="N125" s="268">
        <f t="shared" si="152"/>
        <v>1.0968379446640317</v>
      </c>
      <c r="O125" s="252" cm="1">
        <f t="array" ref="O125">_xlfn.IFS(N125&gt;=115.5%,11,N125&gt;=110.5%,10,N125&gt;=100.5%,9,N125&gt;=99.5%,8,N125&gt;=89.5%,7,N125&gt;=75.5%,6,N125&gt;=60.5%,5,N125&gt;=45.5%,4,N125&gt;=30.5%,3,N125&gt;=15.5%,2,N125&gt;=0.5%,1,TRUE,0)</f>
        <v>9</v>
      </c>
      <c r="P125" s="12">
        <f t="shared" si="153"/>
        <v>1.4158163265306123</v>
      </c>
      <c r="Q125" s="252" cm="1">
        <f t="array" ref="Q125">_xlfn.IFS(P125&gt;10,11,P125&gt;=8.01,10,P125&gt;=6.01,9,P125&gt;=4.01,8,P125=4,7,P125&gt;=3.01,6,P125&gt;=2.01,5,P125&gt;=1.51,4,P125&gt;=1.01,3,P125&gt;=0.51,2,P125&gt;=0.01,1,TRUE,0)</f>
        <v>3</v>
      </c>
      <c r="R125" s="269">
        <v>2353</v>
      </c>
      <c r="S125" s="184">
        <f>Donations!C14</f>
        <v>435</v>
      </c>
      <c r="T125" s="279">
        <f t="shared" si="154"/>
        <v>0.55461113472163193</v>
      </c>
      <c r="U125" s="10">
        <f t="shared" si="155"/>
        <v>-1918</v>
      </c>
      <c r="V125" s="252" cm="1">
        <f t="array" ref="V125">_xlfn.IFS(T125&gt;=120%,11,T125&gt;=110.5%,10,T125&gt;=100.5%,9,T125&gt;99.9%,8,T125&gt;=85.5%,7,T125&gt;=72.5%,6,T125&gt;=65.5%,5,T125&gt;=55.5%,4,T125&gt;=45.5%,3,T125&gt;=35.5%,2,T125&gt;=20.5%,1,TRUE,0)</f>
        <v>3</v>
      </c>
      <c r="W125" s="269">
        <f t="shared" si="156"/>
        <v>117.6</v>
      </c>
      <c r="X125" s="184">
        <f>Donations!D14</f>
        <v>95</v>
      </c>
      <c r="Y125" s="269">
        <f t="shared" si="157"/>
        <v>0.1211734693877551</v>
      </c>
      <c r="Z125" s="252" cm="1">
        <f t="array" ref="Z125">_xlfn.IFS(Y125&gt;=0.26,11,Y125&gt;=0.21,10,Y125&gt;=0.16,9,Y125=0.15,8,Y125=0.14,7,Y125=0.13,6,Y125&gt;=0.11,5,Y125&gt;=0.09,4,Y125&gt;=0.07,3,Y125&gt;=0.04,2,Y125&gt;=0.01,1,TRUE,0)</f>
        <v>5</v>
      </c>
      <c r="AA125" s="294" t="str">
        <f>'Active &amp; Renewals'!F79</f>
        <v>SUPERIOR</v>
      </c>
      <c r="AB125" s="281" cm="1">
        <f t="array" ref="AB125">_xlfn.IFS(AA125="SUPERIOR",11,AA125="EXCELLENT",9,AA125="GOOD",7,AA125="LATE",5,AA125="NO GRADE",3,AA125="NA",2,AA125="NO REPORT",0)</f>
        <v>11</v>
      </c>
      <c r="AC125" s="294" t="str">
        <f>'Active &amp; Renewals'!H79</f>
        <v>EXCELLENT</v>
      </c>
      <c r="AD125" s="281" cm="1">
        <f t="array" ref="AD125">_xlfn.IFS(AC125="SUPERIOR",11,AC125="EXCELLENT",9,AC125="GOOD",7,AC125="LATE",5,AC125="NO GRADE",3,AC125="NA",2,AC125="NO REPORT",0)</f>
        <v>9</v>
      </c>
      <c r="AE125" s="284" t="str">
        <f>'Active &amp; Renewals'!J79</f>
        <v>NO REPORT</v>
      </c>
      <c r="AF125" s="281" cm="1">
        <f t="array" ref="AF125">_xlfn.IFS(AE125="SUPERIOR",11,AE125="EXCELLENT",9,AE125="GOOD",7,AE125="LATE",5,AE125="NO GRADE",3,AE125="NA",2,AE125="NO REPORT",0)</f>
        <v>0</v>
      </c>
      <c r="AG125" s="284" t="str">
        <f>'Active &amp; Renewals'!L79</f>
        <v>NO REPORT</v>
      </c>
      <c r="AH125" s="281" cm="1">
        <f t="array" ref="AH125">_xlfn.IFS(AG125="SUPERIOR",11,AG125="EXCELLENT",9,AG125="GOOD",7,AG125="LATE",5,AG125="NO GRADE",3,AG125="NA",2,AG125="NO REPORT",0)</f>
        <v>0</v>
      </c>
      <c r="AI125" s="252">
        <f t="shared" si="158"/>
        <v>20</v>
      </c>
      <c r="AJ125" s="188" t="s">
        <v>655</v>
      </c>
      <c r="AK125" s="252" cm="1">
        <f t="array" ref="AK125">_xlfn.IFS(AJ125="8/8",11,AJ125="7/8",7,AJ125="6/8",6,AJ125="5/8",5,AJ125="4/8",4,AJ125="3/8",3,AJ125="2/8",2,AJ125="1/8",1,AJ125="0/8",0,TRUE,0)</f>
        <v>11</v>
      </c>
      <c r="AL125" s="189">
        <v>1</v>
      </c>
      <c r="AM125" s="300" cm="1">
        <f t="array" ref="AM125">_xlfn.IFS(AL125&gt;6,11,AL125&gt;=4,10,AL125&gt;=2,9,AL125=1,8,TRUE,0)</f>
        <v>8</v>
      </c>
      <c r="AN125" s="184">
        <f>Donations!E14</f>
        <v>100</v>
      </c>
      <c r="AO125" s="300" cm="1">
        <f t="array" ref="AO125">_xlfn.IFS(AN125&gt;125,11,AN125&gt;=116,10,AN125&gt;=101,9,AN125=100,8,AN125&gt;=86,7,AN125&gt;=71,6,AN125&gt;=61,5,AN125&gt;=51,4,AN125&gt;=41,3,AN125&gt;=26,2,AN125&gt;=1,1,TRUE,0)</f>
        <v>8</v>
      </c>
      <c r="AP125" s="184">
        <f>Donations!F14</f>
        <v>0</v>
      </c>
      <c r="AQ125" s="300" cm="1">
        <f t="array" ref="AQ125">_xlfn.IFS(AP125&gt;600,11,AP125&gt;=551,10,AP125&gt;=501,9,AP125=500,8,AP125&gt;=326,7,AP125&gt;=251,6,AP125&gt;=201,5,AP125&gt;=151,4,AP125&gt;=101,3,AP125&gt;=76,2,AP125&gt;=1,1,TRUE,0)</f>
        <v>0</v>
      </c>
      <c r="AR125" s="351"/>
      <c r="AS125" s="351"/>
      <c r="AT125" s="351"/>
      <c r="AU125" s="354"/>
      <c r="AV125" s="191">
        <v>0</v>
      </c>
      <c r="AW125" s="191">
        <v>2</v>
      </c>
      <c r="AX125" s="187">
        <v>2</v>
      </c>
      <c r="AY125" s="252">
        <f t="shared" si="160"/>
        <v>4</v>
      </c>
      <c r="AZ125" s="192"/>
      <c r="BA125" s="181"/>
      <c r="BB125" s="193">
        <v>0</v>
      </c>
      <c r="BC125" s="252" cm="1">
        <f t="array" ref="BC125">_xlfn.IFS(BB125=0,11,TRUE,0)</f>
        <v>11</v>
      </c>
      <c r="BD125" s="183">
        <v>4</v>
      </c>
      <c r="BE125" s="183">
        <v>0</v>
      </c>
      <c r="BF125" s="183">
        <v>4</v>
      </c>
      <c r="BG125" s="252">
        <f t="shared" si="161"/>
        <v>8</v>
      </c>
      <c r="BH125" s="183">
        <v>0</v>
      </c>
      <c r="BI125" s="183">
        <v>3</v>
      </c>
      <c r="BJ125" s="183">
        <v>3</v>
      </c>
      <c r="BK125" s="252">
        <f t="shared" si="162"/>
        <v>6</v>
      </c>
    </row>
    <row r="126" spans="1:63" ht="18.75" x14ac:dyDescent="0.25">
      <c r="A126" s="196" t="s">
        <v>1</v>
      </c>
      <c r="B126" s="254">
        <f>SUM(B119:B125)/7</f>
        <v>101.57142857142857</v>
      </c>
      <c r="C126" s="2"/>
      <c r="D126" s="256">
        <f>'District '!L22</f>
        <v>12</v>
      </c>
      <c r="E126" s="5"/>
      <c r="F126" s="5"/>
      <c r="G126" s="1"/>
      <c r="H126" s="1"/>
      <c r="I126" s="310"/>
      <c r="J126" s="1"/>
      <c r="K126" s="210"/>
      <c r="L126" s="226">
        <f>SUM(L119:L125)</f>
        <v>3934.05</v>
      </c>
      <c r="M126" s="4"/>
      <c r="N126" s="97"/>
      <c r="O126" s="1"/>
      <c r="P126" s="3"/>
      <c r="Q126" s="1"/>
      <c r="R126" s="267" t="s">
        <v>0</v>
      </c>
      <c r="S126" s="202"/>
      <c r="T126" s="97"/>
      <c r="U126" s="1"/>
      <c r="V126" s="1"/>
      <c r="W126" s="1"/>
      <c r="X126" s="285"/>
      <c r="Y126" s="269"/>
      <c r="Z126" s="1"/>
      <c r="AA126" s="2"/>
      <c r="AB126" s="2"/>
      <c r="AC126" s="2"/>
      <c r="AD126" s="2"/>
      <c r="AE126" s="113"/>
      <c r="AF126" s="11"/>
      <c r="AG126" s="7"/>
      <c r="AH126" s="2"/>
      <c r="AI126" s="1"/>
      <c r="AJ126" s="204"/>
      <c r="AK126" s="1"/>
      <c r="AL126" s="197"/>
      <c r="AM126" s="1"/>
      <c r="AN126" s="205"/>
      <c r="AO126" s="1"/>
      <c r="AP126" s="206"/>
      <c r="AQ126" s="1"/>
      <c r="AR126" s="213"/>
      <c r="AS126" s="213"/>
      <c r="AT126" s="207"/>
      <c r="AU126" s="275"/>
      <c r="AV126" s="212"/>
      <c r="AW126" s="212"/>
      <c r="AX126" s="209"/>
      <c r="AY126" s="1"/>
      <c r="AZ126" s="204"/>
      <c r="BA126" s="197"/>
      <c r="BB126" s="210"/>
      <c r="BC126" s="1"/>
      <c r="BD126" s="197"/>
      <c r="BE126" s="197"/>
      <c r="BF126" s="197"/>
      <c r="BG126" s="1"/>
      <c r="BH126" s="197"/>
      <c r="BI126" s="197"/>
      <c r="BJ126" s="211"/>
      <c r="BK126" s="1"/>
    </row>
    <row r="127" spans="1:63" ht="18.75" x14ac:dyDescent="0.25">
      <c r="A127" s="196"/>
      <c r="B127" s="116"/>
      <c r="C127" s="2"/>
      <c r="D127" s="2"/>
      <c r="E127" s="5"/>
      <c r="F127" s="265"/>
      <c r="G127" s="1"/>
      <c r="H127" s="1"/>
      <c r="I127" s="310"/>
      <c r="J127" s="1"/>
      <c r="K127" s="210"/>
      <c r="L127" s="226"/>
      <c r="M127" s="4"/>
      <c r="N127" s="97"/>
      <c r="O127" s="1"/>
      <c r="P127" s="3"/>
      <c r="Q127" s="1"/>
      <c r="R127" s="267"/>
      <c r="S127" s="202"/>
      <c r="T127" s="97"/>
      <c r="U127" s="1"/>
      <c r="V127" s="1"/>
      <c r="W127" s="1"/>
      <c r="X127" s="285"/>
      <c r="Y127" s="269"/>
      <c r="Z127" s="1"/>
      <c r="AA127" s="2"/>
      <c r="AB127" s="2"/>
      <c r="AC127" s="2"/>
      <c r="AD127" s="2"/>
      <c r="AE127" s="113"/>
      <c r="AF127" s="11"/>
      <c r="AG127" s="7"/>
      <c r="AH127" s="2"/>
      <c r="AI127" s="1"/>
      <c r="AJ127" s="204"/>
      <c r="AK127" s="1"/>
      <c r="AL127" s="197"/>
      <c r="AM127" s="1"/>
      <c r="AN127" s="205"/>
      <c r="AO127" s="1"/>
      <c r="AP127" s="206"/>
      <c r="AQ127" s="1"/>
      <c r="AR127" s="213"/>
      <c r="AS127" s="213"/>
      <c r="AT127" s="207"/>
      <c r="AU127" s="275"/>
      <c r="AV127" s="212"/>
      <c r="AW127" s="212"/>
      <c r="AX127" s="209"/>
      <c r="AY127" s="1"/>
      <c r="AZ127" s="204"/>
      <c r="BA127" s="197"/>
      <c r="BB127" s="210"/>
      <c r="BC127" s="1"/>
      <c r="BD127" s="197"/>
      <c r="BE127" s="197"/>
      <c r="BF127" s="197"/>
      <c r="BG127" s="1"/>
      <c r="BH127" s="197"/>
      <c r="BI127" s="197"/>
      <c r="BJ127" s="211"/>
      <c r="BK127" s="1"/>
    </row>
    <row r="128" spans="1:63" ht="18.75" x14ac:dyDescent="0.25">
      <c r="A128" s="196" t="s">
        <v>14</v>
      </c>
      <c r="B128" s="2"/>
      <c r="C128" s="2"/>
      <c r="D128" s="2"/>
      <c r="E128" s="5"/>
      <c r="F128" s="265"/>
      <c r="G128" s="1"/>
      <c r="H128" s="1"/>
      <c r="I128" s="310"/>
      <c r="J128" s="1"/>
      <c r="K128" s="210"/>
      <c r="L128" s="210"/>
      <c r="M128" s="4"/>
      <c r="N128" s="97"/>
      <c r="O128" s="1"/>
      <c r="P128" s="3"/>
      <c r="Q128" s="1"/>
      <c r="R128" s="267" t="s">
        <v>0</v>
      </c>
      <c r="S128" s="202"/>
      <c r="T128" s="97"/>
      <c r="U128" s="1"/>
      <c r="V128" s="1"/>
      <c r="W128" s="1"/>
      <c r="X128" s="285"/>
      <c r="Y128" s="269"/>
      <c r="Z128" s="1"/>
      <c r="AA128" s="2"/>
      <c r="AB128" s="2"/>
      <c r="AC128" s="2"/>
      <c r="AD128" s="2"/>
      <c r="AE128" s="113"/>
      <c r="AF128" s="11"/>
      <c r="AG128" s="7"/>
      <c r="AH128" s="2"/>
      <c r="AI128" s="1"/>
      <c r="AJ128" s="204"/>
      <c r="AK128" s="1"/>
      <c r="AL128" s="197"/>
      <c r="AM128" s="1"/>
      <c r="AN128" s="205"/>
      <c r="AO128" s="1"/>
      <c r="AP128" s="206"/>
      <c r="AQ128" s="1"/>
      <c r="AR128" s="207"/>
      <c r="AS128" s="207"/>
      <c r="AT128" s="207"/>
      <c r="AU128" s="275"/>
      <c r="AV128" s="212"/>
      <c r="AW128" s="212"/>
      <c r="AX128" s="209"/>
      <c r="AY128" s="1"/>
      <c r="AZ128" s="204"/>
      <c r="BA128" s="197"/>
      <c r="BB128" s="210"/>
      <c r="BC128" s="1"/>
      <c r="BD128" s="197"/>
      <c r="BE128" s="197"/>
      <c r="BF128" s="197"/>
      <c r="BG128" s="1"/>
      <c r="BH128" s="197"/>
      <c r="BI128" s="197"/>
      <c r="BJ128" s="211"/>
      <c r="BK128" s="1"/>
    </row>
    <row r="129" spans="1:63" ht="15.75" x14ac:dyDescent="0.25">
      <c r="A129" s="180" t="s">
        <v>13</v>
      </c>
      <c r="B129" s="252">
        <f t="shared" ref="B129:B140" si="164">+H129+J129+O129+Q129+V129+Z129+AI129+AK129+AM129+AO129+AQ129+AY129+BA129+BC129+BG129+BK129</f>
        <v>99</v>
      </c>
      <c r="C129" s="253">
        <f>RANK(B129,$B$129:$B$140)</f>
        <v>11</v>
      </c>
      <c r="D129" s="260">
        <f>'Lodge Rank by District'!E93</f>
        <v>87</v>
      </c>
      <c r="E129" s="9" t="str">
        <f>'Active &amp; Renewals'!C10</f>
        <v>312</v>
      </c>
      <c r="F129" s="9" t="str">
        <f>'Active &amp; Renewals'!D10</f>
        <v>332</v>
      </c>
      <c r="G129" s="2">
        <f t="shared" ref="G129:G140" si="165">+F129-E129</f>
        <v>20</v>
      </c>
      <c r="H129" s="252" cm="1">
        <f t="array" ref="H129">_xlfn.IFS(G129&gt;20,11,G129&gt;11,10,G129&gt;2,9,G129&gt;0,8,G129&gt;-6,7,G129&gt;-11,6,G129&gt;-16,5,G129&gt;-21,4,G129&gt;-26,3,G129&gt;-31,2,G129&gt;-36,1,TRUE,0)</f>
        <v>10</v>
      </c>
      <c r="I129" s="113" t="str">
        <f>'Active &amp; Renewals'!E10</f>
        <v>71.06</v>
      </c>
      <c r="J129" s="252" cm="1">
        <f t="array" ref="J129">_xlfn.IFS(VALUE(I129)&gt;=90.5,11,VALUE(I129)&gt;=85.5,10,VALUE(I129)&gt;=80.5,9,VALUE(I129)&gt;=75.5,8,VALUE(I129)&gt;=74.5,7,VALUE(I129)&gt;=70.5,6,VALUE(I129)&gt;=64.5,5,VALUE(I129)&gt;=60.5,4,VALUE(I129)&gt;=54.5,3,VALUE(I129)&gt;=50.5,2,VALUE(I129)&gt;=44.5,1,TRUE,0)</f>
        <v>6</v>
      </c>
      <c r="K129" s="195">
        <v>108</v>
      </c>
      <c r="L129" s="195">
        <f>Donations!B32</f>
        <v>322</v>
      </c>
      <c r="M129" s="267">
        <f t="shared" ref="M129:M140" si="166">+L129-K129</f>
        <v>214</v>
      </c>
      <c r="N129" s="268">
        <f t="shared" ref="N129:N140" si="167">+L129/K129</f>
        <v>2.9814814814814814</v>
      </c>
      <c r="O129" s="252" cm="1">
        <f t="array" ref="O129">_xlfn.IFS(N129&gt;=115.5%,11,N129&gt;=110.5%,10,N129&gt;=100.5%,9,N129&gt;=99.5%,8,N129&gt;=89.5%,7,N129&gt;=75.5%,6,N129&gt;=60.5%,5,N129&gt;=45.5%,4,N129&gt;=30.5%,3,N129&gt;=15.5%,2,N129&gt;=0.5%,1,TRUE,0)</f>
        <v>11</v>
      </c>
      <c r="P129" s="12">
        <f t="shared" ref="P129:P140" si="168">+L129/E129</f>
        <v>1.0320512820512822</v>
      </c>
      <c r="Q129" s="252" cm="1">
        <f t="array" ref="Q129">_xlfn.IFS(P129&gt;10,11,P129&gt;=8.01,10,P129&gt;=6.01,9,P129&gt;=4.01,8,P129=4,7,P129&gt;=3.01,6,P129&gt;=2.01,5,P129&gt;=1.51,4,P129&gt;=1.01,3,P129&gt;=0.51,2,P129&gt;=0.01,1,TRUE,0)</f>
        <v>3</v>
      </c>
      <c r="R129" s="269">
        <v>936</v>
      </c>
      <c r="S129" s="184">
        <f>Donations!C32</f>
        <v>1312</v>
      </c>
      <c r="T129" s="279">
        <f t="shared" ref="T129:T140" si="169">+S129/(R129/3)</f>
        <v>4.2051282051282053</v>
      </c>
      <c r="U129" s="10">
        <f t="shared" ref="U129:U139" si="170">+S129-R129</f>
        <v>376</v>
      </c>
      <c r="V129" s="252" cm="1">
        <f t="array" ref="V129">_xlfn.IFS(T129&gt;=120%,11,T129&gt;=110.5%,10,T129&gt;=100.5%,9,T129&gt;99.9%,8,T129&gt;=85.5%,7,T129&gt;=72.5%,6,T129&gt;=65.5%,5,T129&gt;=55.5%,4,T129&gt;=45.5%,3,T129&gt;=35.5%,2,T129&gt;=20.5%,1,TRUE,0)</f>
        <v>11</v>
      </c>
      <c r="W129" s="269">
        <f t="shared" ref="W129:W140" si="171">E129*0.15</f>
        <v>46.8</v>
      </c>
      <c r="X129" s="184">
        <f>Donations!D32</f>
        <v>0</v>
      </c>
      <c r="Y129" s="269">
        <f t="shared" ref="Y129:Y140" si="172">+X129/E129</f>
        <v>0</v>
      </c>
      <c r="Z129" s="252" cm="1">
        <f t="array" ref="Z129">_xlfn.IFS(Y129&gt;=0.26,11,Y129&gt;=0.21,10,Y129&gt;=0.16,9,Y129=0.15,8,Y129=0.14,7,Y129=0.13,6,Y129&gt;=0.11,5,Y129&gt;=0.09,4,Y129&gt;=0.07,3,Y129&gt;=0.04,2,Y129&gt;=0.01,1,TRUE,0)</f>
        <v>0</v>
      </c>
      <c r="AA129" s="294" t="str">
        <f>'Active &amp; Renewals'!F10</f>
        <v>NO GRADE</v>
      </c>
      <c r="AB129" s="281" cm="1">
        <f t="array" ref="AB129">_xlfn.IFS(AA129="SUPERIOR",11,AA129="EXCELLENT",9,AA129="GOOD",7,AA129="LATE",5,AA129="NO GRADE",3,AA129="NA",2,AA129="NO REPORT",0)</f>
        <v>3</v>
      </c>
      <c r="AC129" s="294" t="str">
        <f>'Active &amp; Renewals'!H10</f>
        <v>NO GRADE</v>
      </c>
      <c r="AD129" s="281" cm="1">
        <f t="array" ref="AD129">_xlfn.IFS(AC129="SUPERIOR",11,AC129="EXCELLENT",9,AC129="GOOD",7,AC129="LATE",5,AC129="NO GRADE",3,AC129="NA",2,AC129="NO REPORT",0)</f>
        <v>3</v>
      </c>
      <c r="AE129" s="284" t="str">
        <f>'Active &amp; Renewals'!J10</f>
        <v>NO REPORT</v>
      </c>
      <c r="AF129" s="281" cm="1">
        <f t="array" ref="AF129">_xlfn.IFS(AE129="SUPERIOR",11,AE129="EXCELLENT",9,AE129="GOOD",7,AE129="LATE",5,AE129="NO GRADE",3,AE129="NA",2,AE129="NO REPORT",0)</f>
        <v>0</v>
      </c>
      <c r="AG129" s="284" t="str">
        <f>'Active &amp; Renewals'!L10</f>
        <v>NO REPORT</v>
      </c>
      <c r="AH129" s="281" cm="1">
        <f t="array" ref="AH129">_xlfn.IFS(AG129="SUPERIOR",11,AG129="EXCELLENT",9,AG129="GOOD",7,AG129="LATE",5,AG129="NO GRADE",3,AG129="NA",2,AG129="NO REPORT",0)</f>
        <v>0</v>
      </c>
      <c r="AI129" s="252">
        <f t="shared" ref="AI129:AI140" si="173">SUM(AB129+AD129+AF129+AH129)</f>
        <v>6</v>
      </c>
      <c r="AJ129" s="188" t="s">
        <v>657</v>
      </c>
      <c r="AK129" s="252" cm="1">
        <f t="array" ref="AK129">_xlfn.IFS(AJ129="8/8",11,AJ129="7/8",7,AJ129="6/8",6,AJ129="5/8",5,AJ129="4/8",4,AJ129="3/8",3,AJ129="2/8",2,AJ129="1/8",1,AJ129="0/8",0,TRUE,0)</f>
        <v>3</v>
      </c>
      <c r="AL129" s="189">
        <v>2</v>
      </c>
      <c r="AM129" s="300" cm="1">
        <f t="array" ref="AM129">_xlfn.IFS(AL129&gt;6,11,AL129&gt;=4,10,AL129&gt;=2,9,AL129=1,8,TRUE,0)</f>
        <v>9</v>
      </c>
      <c r="AN129" s="184">
        <f>Donations!E32</f>
        <v>100</v>
      </c>
      <c r="AO129" s="300" cm="1">
        <f t="array" ref="AO129">_xlfn.IFS(AN129&gt;125,11,AN129&gt;=116,10,AN129&gt;=101,9,AN129=100,8,AN129&gt;=86,7,AN129&gt;=71,6,AN129&gt;=61,5,AN129&gt;=51,4,AN129&gt;=41,3,AN129&gt;=26,2,AN129&gt;=1,1,TRUE,0)</f>
        <v>8</v>
      </c>
      <c r="AP129" s="184">
        <f>Donations!F32</f>
        <v>50</v>
      </c>
      <c r="AQ129" s="300" cm="1">
        <f t="array" ref="AQ129">_xlfn.IFS(AP129&gt;600,11,AP129&gt;=551,10,AP129&gt;=501,9,AP129=500,8,AP129&gt;=326,7,AP129&gt;=251,6,AP129&gt;=201,5,AP129&gt;=151,4,AP129&gt;=101,3,AP129&gt;=76,2,AP129&gt;=1,1,TRUE,0)</f>
        <v>1</v>
      </c>
      <c r="AR129" s="349">
        <v>5</v>
      </c>
      <c r="AS129" s="349">
        <v>5</v>
      </c>
      <c r="AT129" s="349">
        <v>6</v>
      </c>
      <c r="AU129" s="352">
        <f t="shared" ref="AU129" si="174">+AR129+AS129+AT129</f>
        <v>16</v>
      </c>
      <c r="AV129" s="191">
        <v>3</v>
      </c>
      <c r="AW129" s="191">
        <v>5</v>
      </c>
      <c r="AX129" s="187">
        <v>3</v>
      </c>
      <c r="AY129" s="252">
        <f t="shared" ref="AY129:AY140" si="175">+AV129+AW129+AX129</f>
        <v>11</v>
      </c>
      <c r="AZ129" s="192"/>
      <c r="BA129" s="181"/>
      <c r="BB129" s="193">
        <v>0</v>
      </c>
      <c r="BC129" s="252" cm="1">
        <f t="array" ref="BC129">_xlfn.IFS(BB129=0,11,TRUE,0)</f>
        <v>11</v>
      </c>
      <c r="BD129" s="183">
        <v>4</v>
      </c>
      <c r="BE129" s="183">
        <v>4</v>
      </c>
      <c r="BF129" s="183">
        <v>0</v>
      </c>
      <c r="BG129" s="252">
        <f t="shared" ref="BG129:BG140" si="176">SUM(BD129+BE129+BF129)</f>
        <v>8</v>
      </c>
      <c r="BH129" s="183">
        <v>0</v>
      </c>
      <c r="BI129" s="183">
        <v>0</v>
      </c>
      <c r="BJ129" s="183">
        <v>1</v>
      </c>
      <c r="BK129" s="252">
        <f t="shared" ref="BK129:BK140" si="177">SUM(BH129+BI129+BJ129)</f>
        <v>1</v>
      </c>
    </row>
    <row r="130" spans="1:63" ht="15.75" x14ac:dyDescent="0.25">
      <c r="A130" s="180" t="s">
        <v>12</v>
      </c>
      <c r="B130" s="252">
        <f t="shared" si="164"/>
        <v>167</v>
      </c>
      <c r="C130" s="253">
        <f t="shared" ref="C130:C140" si="178">RANK(B130,$B$129:$B$140)</f>
        <v>2</v>
      </c>
      <c r="D130" s="260">
        <f>'Lodge Rank by District'!E94</f>
        <v>5</v>
      </c>
      <c r="E130" s="9" t="str">
        <f>'Active &amp; Renewals'!C13</f>
        <v>1464</v>
      </c>
      <c r="F130" s="9" t="str">
        <f>'Active &amp; Renewals'!D13</f>
        <v>1596</v>
      </c>
      <c r="G130" s="2">
        <f t="shared" si="165"/>
        <v>132</v>
      </c>
      <c r="H130" s="252" cm="1">
        <f t="array" ref="H130">_xlfn.IFS(G130&gt;20,11,G130&gt;11,10,G130&gt;2,9,G130&gt;0,8,G130&gt;-6,7,G130&gt;-11,6,G130&gt;-16,5,G130&gt;-21,4,G130&gt;-26,3,G130&gt;-31,2,G130&gt;-36,1,TRUE,0)</f>
        <v>11</v>
      </c>
      <c r="I130" s="113" t="str">
        <f>'Active &amp; Renewals'!E13</f>
        <v>86.94</v>
      </c>
      <c r="J130" s="252" cm="1">
        <f t="array" ref="J130">_xlfn.IFS(VALUE(I130)&gt;=90.5,11,VALUE(I130)&gt;=85.5,10,VALUE(I130)&gt;=80.5,9,VALUE(I130)&gt;=75.5,8,VALUE(I130)&gt;=74.5,7,VALUE(I130)&gt;=70.5,6,VALUE(I130)&gt;=64.5,5,VALUE(I130)&gt;=60.5,4,VALUE(I130)&gt;=54.5,3,VALUE(I130)&gt;=50.5,2,VALUE(I130)&gt;=44.5,1,TRUE,0)</f>
        <v>10</v>
      </c>
      <c r="K130" s="195">
        <v>12445.98</v>
      </c>
      <c r="L130" s="195">
        <f>Donations!B71</f>
        <v>7942.79</v>
      </c>
      <c r="M130" s="267">
        <f t="shared" si="166"/>
        <v>-4503.1899999999996</v>
      </c>
      <c r="N130" s="268">
        <f t="shared" si="167"/>
        <v>0.63818116371711997</v>
      </c>
      <c r="O130" s="252" cm="1">
        <f t="array" ref="O130">_xlfn.IFS(N130&gt;=115.5%,11,N130&gt;=110.5%,10,N130&gt;=100.5%,9,N130&gt;=99.5%,8,N130&gt;=89.5%,7,N130&gt;=75.5%,6,N130&gt;=60.5%,5,N130&gt;=45.5%,4,N130&gt;=30.5%,3,N130&gt;=15.5%,2,N130&gt;=0.5%,1,TRUE,0)</f>
        <v>5</v>
      </c>
      <c r="P130" s="12">
        <f t="shared" si="168"/>
        <v>5.4254030054644806</v>
      </c>
      <c r="Q130" s="252" cm="1">
        <f t="array" ref="Q130">_xlfn.IFS(P130&gt;10,11,P130&gt;=8.01,10,P130&gt;=6.01,9,P130&gt;=4.01,8,P130=4,7,P130&gt;=3.01,6,P130&gt;=2.01,5,P130&gt;=1.51,4,P130&gt;=1.01,3,P130&gt;=0.51,2,P130&gt;=0.01,1,TRUE,0)</f>
        <v>8</v>
      </c>
      <c r="R130" s="269">
        <v>4392</v>
      </c>
      <c r="S130" s="184">
        <f>Donations!C71</f>
        <v>2100</v>
      </c>
      <c r="T130" s="279">
        <f t="shared" si="169"/>
        <v>1.4344262295081966</v>
      </c>
      <c r="U130" s="10">
        <f t="shared" si="170"/>
        <v>-2292</v>
      </c>
      <c r="V130" s="252" cm="1">
        <f t="array" ref="V130">_xlfn.IFS(T130&gt;=120%,11,T130&gt;=110.5%,10,T130&gt;=100.5%,9,T130&gt;99.9%,8,T130&gt;=85.5%,7,T130&gt;=72.5%,6,T130&gt;=65.5%,5,T130&gt;=55.5%,4,T130&gt;=45.5%,3,T130&gt;=35.5%,2,T130&gt;=20.5%,1,TRUE,0)</f>
        <v>11</v>
      </c>
      <c r="W130" s="269">
        <f t="shared" si="171"/>
        <v>219.6</v>
      </c>
      <c r="X130" s="184">
        <f>Donations!D71</f>
        <v>2000</v>
      </c>
      <c r="Y130" s="269">
        <f t="shared" si="172"/>
        <v>1.3661202185792349</v>
      </c>
      <c r="Z130" s="252" cm="1">
        <f t="array" ref="Z130">_xlfn.IFS(Y130&gt;=0.26,11,Y130&gt;=0.21,10,Y130&gt;=0.16,9,Y130=0.15,8,Y130=0.14,7,Y130=0.13,6,Y130&gt;=0.11,5,Y130&gt;=0.09,4,Y130&gt;=0.07,3,Y130&gt;=0.04,2,Y130&gt;=0.01,1,TRUE,0)</f>
        <v>11</v>
      </c>
      <c r="AA130" s="294" t="str">
        <f>'Active &amp; Renewals'!F13</f>
        <v>SUPERIOR</v>
      </c>
      <c r="AB130" s="281" cm="1">
        <f t="array" ref="AB130">_xlfn.IFS(AA130="SUPERIOR",11,AA130="EXCELLENT",9,AA130="GOOD",7,AA130="LATE",5,AA130="NO GRADE",3,AA130="NA",2,AA130="NO REPORT",0)</f>
        <v>11</v>
      </c>
      <c r="AC130" s="294" t="str">
        <f>'Active &amp; Renewals'!H13</f>
        <v>EXCELLENT</v>
      </c>
      <c r="AD130" s="281" cm="1">
        <f t="array" ref="AD130">_xlfn.IFS(AC130="SUPERIOR",11,AC130="EXCELLENT",9,AC130="GOOD",7,AC130="LATE",5,AC130="NO GRADE",3,AC130="NA",2,AC130="NO REPORT",0)</f>
        <v>9</v>
      </c>
      <c r="AE130" s="284" t="str">
        <f>'Active &amp; Renewals'!J13</f>
        <v>NO REPORT</v>
      </c>
      <c r="AF130" s="281" cm="1">
        <f t="array" ref="AF130">_xlfn.IFS(AE130="SUPERIOR",11,AE130="EXCELLENT",9,AE130="GOOD",7,AE130="LATE",5,AE130="NO GRADE",3,AE130="NA",2,AE130="NO REPORT",0)</f>
        <v>0</v>
      </c>
      <c r="AG130" s="284" t="str">
        <f>'Active &amp; Renewals'!L13</f>
        <v>NO REPORT</v>
      </c>
      <c r="AH130" s="281" cm="1">
        <f t="array" ref="AH130">_xlfn.IFS(AG130="SUPERIOR",11,AG130="EXCELLENT",9,AG130="GOOD",7,AG130="LATE",5,AG130="NO GRADE",3,AG130="NA",2,AG130="NO REPORT",0)</f>
        <v>0</v>
      </c>
      <c r="AI130" s="252">
        <f t="shared" si="173"/>
        <v>20</v>
      </c>
      <c r="AJ130" s="188" t="s">
        <v>656</v>
      </c>
      <c r="AK130" s="252" cm="1">
        <f t="array" ref="AK130">_xlfn.IFS(AJ130="8/8",11,AJ130="7/8",7,AJ130="6/8",6,AJ130="5/8",5,AJ130="4/8",4,AJ130="3/8",3,AJ130="2/8",2,AJ130="1/8",1,AJ130="0/8",0,TRUE,0)</f>
        <v>7</v>
      </c>
      <c r="AL130" s="189">
        <v>8</v>
      </c>
      <c r="AM130" s="300" cm="1">
        <f t="array" ref="AM130">_xlfn.IFS(AL130&gt;6,11,AL130&gt;=4,10,AL130&gt;=2,9,AL130=1,8,TRUE,0)</f>
        <v>11</v>
      </c>
      <c r="AN130" s="184">
        <f>Donations!E71</f>
        <v>250</v>
      </c>
      <c r="AO130" s="300" cm="1">
        <f t="array" ref="AO130">_xlfn.IFS(AN130&gt;125,11,AN130&gt;=116,10,AN130&gt;=101,9,AN130=100,8,AN130&gt;=86,7,AN130&gt;=71,6,AN130&gt;=61,5,AN130&gt;=51,4,AN130&gt;=41,3,AN130&gt;=26,2,AN130&gt;=1,1,TRUE,0)</f>
        <v>11</v>
      </c>
      <c r="AP130" s="184">
        <f>Donations!F71</f>
        <v>1100</v>
      </c>
      <c r="AQ130" s="300" cm="1">
        <f t="array" ref="AQ130">_xlfn.IFS(AP130&gt;600,11,AP130&gt;=551,10,AP130&gt;=501,9,AP130=500,8,AP130&gt;=326,7,AP130&gt;=251,6,AP130&gt;=201,5,AP130&gt;=151,4,AP130&gt;=101,3,AP130&gt;=76,2,AP130&gt;=1,1,TRUE,0)</f>
        <v>11</v>
      </c>
      <c r="AR130" s="350"/>
      <c r="AS130" s="350"/>
      <c r="AT130" s="350"/>
      <c r="AU130" s="353"/>
      <c r="AV130" s="191">
        <v>2</v>
      </c>
      <c r="AW130" s="191">
        <v>5</v>
      </c>
      <c r="AX130" s="187">
        <v>5</v>
      </c>
      <c r="AY130" s="252">
        <f t="shared" si="175"/>
        <v>12</v>
      </c>
      <c r="AZ130" s="192" t="s">
        <v>251</v>
      </c>
      <c r="BA130" s="181">
        <v>8</v>
      </c>
      <c r="BB130" s="193">
        <v>0</v>
      </c>
      <c r="BC130" s="252" cm="1">
        <f t="array" ref="BC130">_xlfn.IFS(BB130=0,11,TRUE,0)</f>
        <v>11</v>
      </c>
      <c r="BD130" s="183">
        <v>3</v>
      </c>
      <c r="BE130" s="183">
        <v>4</v>
      </c>
      <c r="BF130" s="183">
        <v>4</v>
      </c>
      <c r="BG130" s="252">
        <f t="shared" si="176"/>
        <v>11</v>
      </c>
      <c r="BH130" s="183">
        <v>3</v>
      </c>
      <c r="BI130" s="183">
        <v>3</v>
      </c>
      <c r="BJ130" s="183">
        <v>3</v>
      </c>
      <c r="BK130" s="252">
        <f t="shared" si="177"/>
        <v>9</v>
      </c>
    </row>
    <row r="131" spans="1:63" ht="15.75" x14ac:dyDescent="0.25">
      <c r="A131" s="180" t="s">
        <v>11</v>
      </c>
      <c r="B131" s="252">
        <f t="shared" si="164"/>
        <v>184</v>
      </c>
      <c r="C131" s="253">
        <f t="shared" si="178"/>
        <v>1</v>
      </c>
      <c r="D131" s="260">
        <f>'Lodge Rank by District'!E95</f>
        <v>2</v>
      </c>
      <c r="E131" s="9" t="str">
        <f>'Active &amp; Renewals'!C14</f>
        <v>941</v>
      </c>
      <c r="F131" s="9" t="str">
        <f>'Active &amp; Renewals'!D14</f>
        <v>972</v>
      </c>
      <c r="G131" s="2">
        <f t="shared" si="165"/>
        <v>31</v>
      </c>
      <c r="H131" s="252" cm="1">
        <f t="array" ref="H131">_xlfn.IFS(G131&gt;20,11,G131&gt;11,10,G131&gt;2,9,G131&gt;0,8,G131&gt;-6,7,G131&gt;-11,6,G131&gt;-16,5,G131&gt;-21,4,G131&gt;-26,3,G131&gt;-31,2,G131&gt;-36,1,TRUE,0)</f>
        <v>11</v>
      </c>
      <c r="I131" s="113" t="str">
        <f>'Active &amp; Renewals'!E14</f>
        <v>86.82</v>
      </c>
      <c r="J131" s="252" cm="1">
        <f t="array" ref="J131">_xlfn.IFS(VALUE(I131)&gt;=90.5,11,VALUE(I131)&gt;=85.5,10,VALUE(I131)&gt;=80.5,9,VALUE(I131)&gt;=75.5,8,VALUE(I131)&gt;=74.5,7,VALUE(I131)&gt;=70.5,6,VALUE(I131)&gt;=64.5,5,VALUE(I131)&gt;=60.5,4,VALUE(I131)&gt;=54.5,3,VALUE(I131)&gt;=50.5,2,VALUE(I131)&gt;=44.5,1,TRUE,0)</f>
        <v>10</v>
      </c>
      <c r="K131" s="195">
        <v>10500</v>
      </c>
      <c r="L131" s="195">
        <f>Donations!B35</f>
        <v>12128.25</v>
      </c>
      <c r="M131" s="267">
        <f t="shared" si="166"/>
        <v>1628.25</v>
      </c>
      <c r="N131" s="268">
        <f t="shared" si="167"/>
        <v>1.1550714285714285</v>
      </c>
      <c r="O131" s="252" cm="1">
        <f t="array" ref="O131">_xlfn.IFS(N131&gt;=115.5%,11,N131&gt;=110.5%,10,N131&gt;=100.5%,9,N131&gt;=99.5%,8,N131&gt;=89.5%,7,N131&gt;=75.5%,6,N131&gt;=60.5%,5,N131&gt;=45.5%,4,N131&gt;=30.5%,3,N131&gt;=15.5%,2,N131&gt;=0.5%,1,TRUE,0)</f>
        <v>11</v>
      </c>
      <c r="P131" s="12">
        <f t="shared" si="168"/>
        <v>12.888682252922424</v>
      </c>
      <c r="Q131" s="252" cm="1">
        <f t="array" ref="Q131">_xlfn.IFS(P131&gt;10,11,P131&gt;=8.01,10,P131&gt;=6.01,9,P131&gt;=4.01,8,P131=4,7,P131&gt;=3.01,6,P131&gt;=2.01,5,P131&gt;=1.51,4,P131&gt;=1.01,3,P131&gt;=0.51,2,P131&gt;=0.01,1,TRUE,0)</f>
        <v>11</v>
      </c>
      <c r="R131" s="269">
        <v>2823</v>
      </c>
      <c r="S131" s="184">
        <f>Donations!C35</f>
        <v>3823</v>
      </c>
      <c r="T131" s="279">
        <f t="shared" si="169"/>
        <v>4.0626992561105206</v>
      </c>
      <c r="U131" s="10">
        <f t="shared" si="170"/>
        <v>1000</v>
      </c>
      <c r="V131" s="252" cm="1">
        <f t="array" ref="V131">_xlfn.IFS(T131&gt;=120%,11,T131&gt;=110.5%,10,T131&gt;=100.5%,9,T131&gt;99.9%,8,T131&gt;=85.5%,7,T131&gt;=72.5%,6,T131&gt;=65.5%,5,T131&gt;=55.5%,4,T131&gt;=45.5%,3,T131&gt;=35.5%,2,T131&gt;=20.5%,1,TRUE,0)</f>
        <v>11</v>
      </c>
      <c r="W131" s="269">
        <f t="shared" si="171"/>
        <v>141.15</v>
      </c>
      <c r="X131" s="184">
        <f>Donations!D35</f>
        <v>500</v>
      </c>
      <c r="Y131" s="269">
        <f t="shared" si="172"/>
        <v>0.53134962805526031</v>
      </c>
      <c r="Z131" s="252" cm="1">
        <f t="array" ref="Z131">_xlfn.IFS(Y131&gt;=0.26,11,Y131&gt;=0.21,10,Y131&gt;=0.16,9,Y131=0.15,8,Y131=0.14,7,Y131=0.13,6,Y131&gt;=0.11,5,Y131&gt;=0.09,4,Y131&gt;=0.07,3,Y131&gt;=0.04,2,Y131&gt;=0.01,1,TRUE,0)</f>
        <v>11</v>
      </c>
      <c r="AA131" s="294" t="str">
        <f>'Active &amp; Renewals'!F14</f>
        <v>SUPERIOR</v>
      </c>
      <c r="AB131" s="281" cm="1">
        <f t="array" ref="AB131">_xlfn.IFS(AA131="SUPERIOR",11,AA131="EXCELLENT",9,AA131="GOOD",7,AA131="LATE",5,AA131="NO GRADE",3,AA131="NA",2,AA131="NO REPORT",0)</f>
        <v>11</v>
      </c>
      <c r="AC131" s="294" t="str">
        <f>'Active &amp; Renewals'!H14</f>
        <v>SUPERIOR</v>
      </c>
      <c r="AD131" s="281" cm="1">
        <f t="array" ref="AD131">_xlfn.IFS(AC131="SUPERIOR",11,AC131="EXCELLENT",9,AC131="GOOD",7,AC131="LATE",5,AC131="NO GRADE",3,AC131="NA",2,AC131="NO REPORT",0)</f>
        <v>11</v>
      </c>
      <c r="AE131" s="284" t="str">
        <f>'Active &amp; Renewals'!J14</f>
        <v>NO REPORT</v>
      </c>
      <c r="AF131" s="281" cm="1">
        <f t="array" ref="AF131">_xlfn.IFS(AE131="SUPERIOR",11,AE131="EXCELLENT",9,AE131="GOOD",7,AE131="LATE",5,AE131="NO GRADE",3,AE131="NA",2,AE131="NO REPORT",0)</f>
        <v>0</v>
      </c>
      <c r="AG131" s="284" t="str">
        <f>'Active &amp; Renewals'!L14</f>
        <v>NO REPORT</v>
      </c>
      <c r="AH131" s="281" cm="1">
        <f t="array" ref="AH131">_xlfn.IFS(AG131="SUPERIOR",11,AG131="EXCELLENT",9,AG131="GOOD",7,AG131="LATE",5,AG131="NO GRADE",3,AG131="NA",2,AG131="NO REPORT",0)</f>
        <v>0</v>
      </c>
      <c r="AI131" s="252">
        <f t="shared" si="173"/>
        <v>22</v>
      </c>
      <c r="AJ131" s="188" t="s">
        <v>655</v>
      </c>
      <c r="AK131" s="252" cm="1">
        <f t="array" ref="AK131">_xlfn.IFS(AJ131="8/8",11,AJ131="7/8",7,AJ131="6/8",6,AJ131="5/8",5,AJ131="4/8",4,AJ131="3/8",3,AJ131="2/8",2,AJ131="1/8",1,AJ131="0/8",0,TRUE,0)</f>
        <v>11</v>
      </c>
      <c r="AL131" s="189">
        <v>3</v>
      </c>
      <c r="AM131" s="300" cm="1">
        <f t="array" ref="AM131">_xlfn.IFS(AL131&gt;6,11,AL131&gt;=4,10,AL131&gt;=2,9,AL131=1,8,TRUE,0)</f>
        <v>9</v>
      </c>
      <c r="AN131" s="184">
        <f>Donations!E35</f>
        <v>600</v>
      </c>
      <c r="AO131" s="300" cm="1">
        <f t="array" ref="AO131">_xlfn.IFS(AN131&gt;125,11,AN131&gt;=116,10,AN131&gt;=101,9,AN131=100,8,AN131&gt;=86,7,AN131&gt;=71,6,AN131&gt;=61,5,AN131&gt;=51,4,AN131&gt;=41,3,AN131&gt;=26,2,AN131&gt;=1,1,TRUE,0)</f>
        <v>11</v>
      </c>
      <c r="AP131" s="184">
        <f>Donations!F35</f>
        <v>625</v>
      </c>
      <c r="AQ131" s="300" cm="1">
        <f t="array" ref="AQ131">_xlfn.IFS(AP131&gt;600,11,AP131&gt;=551,10,AP131&gt;=501,9,AP131=500,8,AP131&gt;=326,7,AP131&gt;=251,6,AP131&gt;=201,5,AP131&gt;=151,4,AP131&gt;=101,3,AP131&gt;=76,2,AP131&gt;=1,1,TRUE,0)</f>
        <v>11</v>
      </c>
      <c r="AR131" s="350"/>
      <c r="AS131" s="350"/>
      <c r="AT131" s="350"/>
      <c r="AU131" s="353"/>
      <c r="AV131" s="191">
        <v>4</v>
      </c>
      <c r="AW131" s="191">
        <v>5</v>
      </c>
      <c r="AX131" s="187">
        <v>3</v>
      </c>
      <c r="AY131" s="252">
        <f t="shared" si="175"/>
        <v>12</v>
      </c>
      <c r="AZ131" s="192" t="s">
        <v>250</v>
      </c>
      <c r="BA131" s="181">
        <v>11</v>
      </c>
      <c r="BB131" s="193">
        <v>0</v>
      </c>
      <c r="BC131" s="252" cm="1">
        <f t="array" ref="BC131">_xlfn.IFS(BB131=0,11,TRUE,0)</f>
        <v>11</v>
      </c>
      <c r="BD131" s="183">
        <v>4</v>
      </c>
      <c r="BE131" s="183">
        <v>4</v>
      </c>
      <c r="BF131" s="183">
        <v>4</v>
      </c>
      <c r="BG131" s="252">
        <f>SUM(BD131+BE131+BF131)</f>
        <v>12</v>
      </c>
      <c r="BH131" s="183">
        <v>3</v>
      </c>
      <c r="BI131" s="183">
        <v>3</v>
      </c>
      <c r="BJ131" s="183">
        <v>3</v>
      </c>
      <c r="BK131" s="252">
        <f t="shared" si="177"/>
        <v>9</v>
      </c>
    </row>
    <row r="132" spans="1:63" ht="15.75" x14ac:dyDescent="0.25">
      <c r="A132" s="180" t="s">
        <v>10</v>
      </c>
      <c r="B132" s="252">
        <f t="shared" si="164"/>
        <v>137</v>
      </c>
      <c r="C132" s="253">
        <f t="shared" si="178"/>
        <v>5</v>
      </c>
      <c r="D132" s="260">
        <f>'Lodge Rank by District'!E96</f>
        <v>33</v>
      </c>
      <c r="E132" s="9" t="str">
        <f>'Active &amp; Renewals'!C15</f>
        <v>1708</v>
      </c>
      <c r="F132" s="9" t="str">
        <f>'Active &amp; Renewals'!D15</f>
        <v>1790</v>
      </c>
      <c r="G132" s="2">
        <f t="shared" si="165"/>
        <v>82</v>
      </c>
      <c r="H132" s="252" cm="1">
        <f t="array" ref="H132">_xlfn.IFS(G132&gt;20,11,G132&gt;11,10,G132&gt;2,9,G132&gt;0,8,G132&gt;-6,7,G132&gt;-11,6,G132&gt;-16,5,G132&gt;-21,4,G132&gt;-26,3,G132&gt;-31,2,G132&gt;-36,1,TRUE,0)</f>
        <v>11</v>
      </c>
      <c r="I132" s="113" t="str">
        <f>'Active &amp; Renewals'!E15</f>
        <v>83.41</v>
      </c>
      <c r="J132" s="252" cm="1">
        <f t="array" ref="J132">_xlfn.IFS(VALUE(I132)&gt;=90.5,11,VALUE(I132)&gt;=85.5,10,VALUE(I132)&gt;=80.5,9,VALUE(I132)&gt;=75.5,8,VALUE(I132)&gt;=74.5,7,VALUE(I132)&gt;=70.5,6,VALUE(I132)&gt;=64.5,5,VALUE(I132)&gt;=60.5,4,VALUE(I132)&gt;=54.5,3,VALUE(I132)&gt;=50.5,2,VALUE(I132)&gt;=44.5,1,TRUE,0)</f>
        <v>9</v>
      </c>
      <c r="K132" s="195">
        <v>7900</v>
      </c>
      <c r="L132" s="195">
        <f>Donations!B89</f>
        <v>4198.74</v>
      </c>
      <c r="M132" s="267">
        <f t="shared" si="166"/>
        <v>-3701.26</v>
      </c>
      <c r="N132" s="268">
        <f t="shared" si="167"/>
        <v>0.53148607594936703</v>
      </c>
      <c r="O132" s="252" cm="1">
        <f t="array" ref="O132">_xlfn.IFS(N132&gt;=115.5%,11,N132&gt;=110.5%,10,N132&gt;=100.5%,9,N132&gt;=99.5%,8,N132&gt;=89.5%,7,N132&gt;=75.5%,6,N132&gt;=60.5%,5,N132&gt;=45.5%,4,N132&gt;=30.5%,3,N132&gt;=15.5%,2,N132&gt;=0.5%,1,TRUE,0)</f>
        <v>4</v>
      </c>
      <c r="P132" s="12">
        <f t="shared" si="168"/>
        <v>2.4582786885245902</v>
      </c>
      <c r="Q132" s="252" cm="1">
        <f t="array" ref="Q132">_xlfn.IFS(P132&gt;10,11,P132&gt;=8.01,10,P132&gt;=6.01,9,P132&gt;=4.01,8,P132=4,7,P132&gt;=3.01,6,P132&gt;=2.01,5,P132&gt;=1.51,4,P132&gt;=1.01,3,P132&gt;=0.51,2,P132&gt;=0.01,1,TRUE,0)</f>
        <v>5</v>
      </c>
      <c r="R132" s="269">
        <v>5124</v>
      </c>
      <c r="S132" s="184">
        <f>Donations!C89</f>
        <v>3416</v>
      </c>
      <c r="T132" s="279">
        <f t="shared" si="169"/>
        <v>2</v>
      </c>
      <c r="U132" s="10">
        <f t="shared" si="170"/>
        <v>-1708</v>
      </c>
      <c r="V132" s="252" cm="1">
        <f t="array" ref="V132">_xlfn.IFS(T132&gt;=120%,11,T132&gt;=110.5%,10,T132&gt;=100.5%,9,T132&gt;99.9%,8,T132&gt;=85.5%,7,T132&gt;=72.5%,6,T132&gt;=65.5%,5,T132&gt;=55.5%,4,T132&gt;=45.5%,3,T132&gt;=35.5%,2,T132&gt;=20.5%,1,TRUE,0)</f>
        <v>11</v>
      </c>
      <c r="W132" s="269">
        <f t="shared" si="171"/>
        <v>256.2</v>
      </c>
      <c r="X132" s="184">
        <f>Donations!D89</f>
        <v>446.5</v>
      </c>
      <c r="Y132" s="269">
        <f t="shared" si="172"/>
        <v>0.26141686182669788</v>
      </c>
      <c r="Z132" s="252" cm="1">
        <f t="array" ref="Z132">_xlfn.IFS(Y132&gt;=0.26,11,Y132&gt;=0.21,10,Y132&gt;=0.16,9,Y132=0.15,8,Y132=0.14,7,Y132=0.13,6,Y132&gt;=0.11,5,Y132&gt;=0.09,4,Y132&gt;=0.07,3,Y132&gt;=0.04,2,Y132&gt;=0.01,1,TRUE,0)</f>
        <v>11</v>
      </c>
      <c r="AA132" s="294" t="str">
        <f>'Active &amp; Renewals'!F15</f>
        <v>EXCELLENT</v>
      </c>
      <c r="AB132" s="281" cm="1">
        <f t="array" ref="AB132">_xlfn.IFS(AA132="SUPERIOR",11,AA132="EXCELLENT",9,AA132="GOOD",7,AA132="LATE",5,AA132="NO GRADE",3,AA132="NA",2,AA132="NO REPORT",0)</f>
        <v>9</v>
      </c>
      <c r="AC132" s="294" t="str">
        <f>'Active &amp; Renewals'!H15</f>
        <v>GOOD</v>
      </c>
      <c r="AD132" s="281" cm="1">
        <f t="array" ref="AD132">_xlfn.IFS(AC132="SUPERIOR",11,AC132="EXCELLENT",9,AC132="GOOD",7,AC132="LATE",5,AC132="NO GRADE",3,AC132="NA",2,AC132="NO REPORT",0)</f>
        <v>7</v>
      </c>
      <c r="AE132" s="284" t="str">
        <f>'Active &amp; Renewals'!J15</f>
        <v>NO REPORT</v>
      </c>
      <c r="AF132" s="281" cm="1">
        <f t="array" ref="AF132">_xlfn.IFS(AE132="SUPERIOR",11,AE132="EXCELLENT",9,AE132="GOOD",7,AE132="LATE",5,AE132="NO GRADE",3,AE132="NA",2,AE132="NO REPORT",0)</f>
        <v>0</v>
      </c>
      <c r="AG132" s="284" t="str">
        <f>'Active &amp; Renewals'!L15</f>
        <v>NO REPORT</v>
      </c>
      <c r="AH132" s="281" cm="1">
        <f t="array" ref="AH132">_xlfn.IFS(AG132="SUPERIOR",11,AG132="EXCELLENT",9,AG132="GOOD",7,AG132="LATE",5,AG132="NO GRADE",3,AG132="NA",2,AG132="NO REPORT",0)</f>
        <v>0</v>
      </c>
      <c r="AI132" s="252">
        <f t="shared" si="173"/>
        <v>16</v>
      </c>
      <c r="AJ132" s="188" t="s">
        <v>655</v>
      </c>
      <c r="AK132" s="252" cm="1">
        <f t="array" ref="AK132">_xlfn.IFS(AJ132="8/8",11,AJ132="7/8",7,AJ132="6/8",6,AJ132="5/8",5,AJ132="4/8",4,AJ132="3/8",3,AJ132="2/8",2,AJ132="1/8",1,AJ132="0/8",0,TRUE,0)</f>
        <v>11</v>
      </c>
      <c r="AL132" s="189">
        <v>8</v>
      </c>
      <c r="AM132" s="300" cm="1">
        <f t="array" ref="AM132">_xlfn.IFS(AL132&gt;6,11,AL132&gt;=4,10,AL132&gt;=2,9,AL132=1,8,TRUE,0)</f>
        <v>11</v>
      </c>
      <c r="AN132" s="184">
        <f>Donations!E89</f>
        <v>100</v>
      </c>
      <c r="AO132" s="300" cm="1">
        <f t="array" ref="AO132">_xlfn.IFS(AN132&gt;125,11,AN132&gt;=116,10,AN132&gt;=101,9,AN132=100,8,AN132&gt;=86,7,AN132&gt;=71,6,AN132&gt;=61,5,AN132&gt;=51,4,AN132&gt;=41,3,AN132&gt;=26,2,AN132&gt;=1,1,TRUE,0)</f>
        <v>8</v>
      </c>
      <c r="AP132" s="184">
        <f>Donations!F89</f>
        <v>100</v>
      </c>
      <c r="AQ132" s="300" cm="1">
        <f t="array" ref="AQ132">_xlfn.IFS(AP132&gt;600,11,AP132&gt;=551,10,AP132&gt;=501,9,AP132=500,8,AP132&gt;=326,7,AP132&gt;=251,6,AP132&gt;=201,5,AP132&gt;=151,4,AP132&gt;=101,3,AP132&gt;=76,2,AP132&gt;=1,1,TRUE,0)</f>
        <v>2</v>
      </c>
      <c r="AR132" s="350"/>
      <c r="AS132" s="350"/>
      <c r="AT132" s="350"/>
      <c r="AU132" s="353"/>
      <c r="AV132" s="191">
        <v>3</v>
      </c>
      <c r="AW132" s="191">
        <v>2</v>
      </c>
      <c r="AX132" s="187">
        <v>5</v>
      </c>
      <c r="AY132" s="252">
        <f t="shared" si="175"/>
        <v>10</v>
      </c>
      <c r="AZ132" s="192"/>
      <c r="BA132" s="181"/>
      <c r="BB132" s="193">
        <v>0</v>
      </c>
      <c r="BC132" s="252" cm="1">
        <f t="array" ref="BC132">_xlfn.IFS(BB132=0,11,TRUE,0)</f>
        <v>11</v>
      </c>
      <c r="BD132" s="183">
        <v>4</v>
      </c>
      <c r="BE132" s="183">
        <v>0</v>
      </c>
      <c r="BF132" s="183">
        <v>4</v>
      </c>
      <c r="BG132" s="252">
        <f t="shared" si="176"/>
        <v>8</v>
      </c>
      <c r="BH132" s="183">
        <v>3</v>
      </c>
      <c r="BI132" s="183">
        <v>3</v>
      </c>
      <c r="BJ132" s="183">
        <v>3</v>
      </c>
      <c r="BK132" s="252">
        <f t="shared" si="177"/>
        <v>9</v>
      </c>
    </row>
    <row r="133" spans="1:63" ht="15.75" x14ac:dyDescent="0.25">
      <c r="A133" s="180" t="s">
        <v>9</v>
      </c>
      <c r="B133" s="252">
        <f t="shared" si="164"/>
        <v>146</v>
      </c>
      <c r="C133" s="253">
        <f t="shared" si="178"/>
        <v>3</v>
      </c>
      <c r="D133" s="260">
        <f>'Lodge Rank by District'!E97</f>
        <v>24</v>
      </c>
      <c r="E133" s="9" t="str">
        <f>'Active &amp; Renewals'!C19</f>
        <v>581</v>
      </c>
      <c r="F133" s="9" t="str">
        <f>'Active &amp; Renewals'!D19</f>
        <v>555</v>
      </c>
      <c r="G133" s="2">
        <f t="shared" si="165"/>
        <v>-26</v>
      </c>
      <c r="H133" s="252" cm="1">
        <f t="array" ref="H133">_xlfn.IFS(G133&gt;20,11,G133&gt;11,10,G133&gt;2,9,G133&gt;0,8,G133&gt;-6,7,G133&gt;-11,6,G133&gt;-16,5,G133&gt;-21,4,G133&gt;-26,3,G133&gt;-31,2,G133&gt;-36,1,TRUE,0)</f>
        <v>2</v>
      </c>
      <c r="I133" s="113" t="str">
        <f>'Active &amp; Renewals'!E19</f>
        <v>86.17</v>
      </c>
      <c r="J133" s="252" cm="1">
        <f t="array" ref="J133">_xlfn.IFS(VALUE(I133)&gt;=90.5,11,VALUE(I133)&gt;=85.5,10,VALUE(I133)&gt;=80.5,9,VALUE(I133)&gt;=75.5,8,VALUE(I133)&gt;=74.5,7,VALUE(I133)&gt;=70.5,6,VALUE(I133)&gt;=64.5,5,VALUE(I133)&gt;=60.5,4,VALUE(I133)&gt;=54.5,3,VALUE(I133)&gt;=50.5,2,VALUE(I133)&gt;=44.5,1,TRUE,0)</f>
        <v>10</v>
      </c>
      <c r="K133" s="195">
        <v>381.36</v>
      </c>
      <c r="L133" s="195">
        <f>Donations!B22</f>
        <v>912</v>
      </c>
      <c r="M133" s="267">
        <f t="shared" si="166"/>
        <v>530.64</v>
      </c>
      <c r="N133" s="268">
        <f t="shared" si="167"/>
        <v>2.3914411579609816</v>
      </c>
      <c r="O133" s="252" cm="1">
        <f t="array" ref="O133">_xlfn.IFS(N133&gt;=115.5%,11,N133&gt;=110.5%,10,N133&gt;=100.5%,9,N133&gt;=99.5%,8,N133&gt;=89.5%,7,N133&gt;=75.5%,6,N133&gt;=60.5%,5,N133&gt;=45.5%,4,N133&gt;=30.5%,3,N133&gt;=15.5%,2,N133&gt;=0.5%,1,TRUE,0)</f>
        <v>11</v>
      </c>
      <c r="P133" s="12">
        <f t="shared" si="168"/>
        <v>1.5697074010327023</v>
      </c>
      <c r="Q133" s="252" cm="1">
        <f t="array" ref="Q133">_xlfn.IFS(P133&gt;10,11,P133&gt;=8.01,10,P133&gt;=6.01,9,P133&gt;=4.01,8,P133=4,7,P133&gt;=3.01,6,P133&gt;=2.01,5,P133&gt;=1.51,4,P133&gt;=1.01,3,P133&gt;=0.51,2,P133&gt;=0.01,1,TRUE,0)</f>
        <v>4</v>
      </c>
      <c r="R133" s="269">
        <v>1743</v>
      </c>
      <c r="S133" s="184">
        <f>Donations!C22</f>
        <v>950</v>
      </c>
      <c r="T133" s="279">
        <f t="shared" si="169"/>
        <v>1.6351118760757315</v>
      </c>
      <c r="U133" s="10">
        <f t="shared" si="170"/>
        <v>-793</v>
      </c>
      <c r="V133" s="252" cm="1">
        <f t="array" ref="V133">_xlfn.IFS(T133&gt;=120%,11,T133&gt;=110.5%,10,T133&gt;=100.5%,9,T133&gt;99.9%,8,T133&gt;=85.5%,7,T133&gt;=72.5%,6,T133&gt;=65.5%,5,T133&gt;=55.5%,4,T133&gt;=45.5%,3,T133&gt;=35.5%,2,T133&gt;=20.5%,1,TRUE,0)</f>
        <v>11</v>
      </c>
      <c r="W133" s="269">
        <f t="shared" si="171"/>
        <v>87.149999999999991</v>
      </c>
      <c r="X133" s="184">
        <f>Donations!D22</f>
        <v>360</v>
      </c>
      <c r="Y133" s="269">
        <f t="shared" si="172"/>
        <v>0.61962134251290879</v>
      </c>
      <c r="Z133" s="252" cm="1">
        <f t="array" ref="Z133">_xlfn.IFS(Y133&gt;=0.26,11,Y133&gt;=0.21,10,Y133&gt;=0.16,9,Y133=0.15,8,Y133=0.14,7,Y133=0.13,6,Y133&gt;=0.11,5,Y133&gt;=0.09,4,Y133&gt;=0.07,3,Y133&gt;=0.04,2,Y133&gt;=0.01,1,TRUE,0)</f>
        <v>11</v>
      </c>
      <c r="AA133" s="294" t="str">
        <f>'Active &amp; Renewals'!F19</f>
        <v>SUPERIOR</v>
      </c>
      <c r="AB133" s="281" cm="1">
        <f t="array" ref="AB133">_xlfn.IFS(AA133="SUPERIOR",11,AA133="EXCELLENT",9,AA133="GOOD",7,AA133="LATE",5,AA133="NO GRADE",3,AA133="NA",2,AA133="NO REPORT",0)</f>
        <v>11</v>
      </c>
      <c r="AC133" s="294" t="str">
        <f>'Active &amp; Renewals'!H19</f>
        <v>SUPERIOR</v>
      </c>
      <c r="AD133" s="281" cm="1">
        <f t="array" ref="AD133">_xlfn.IFS(AC133="SUPERIOR",11,AC133="EXCELLENT",9,AC133="GOOD",7,AC133="LATE",5,AC133="NO GRADE",3,AC133="NA",2,AC133="NO REPORT",0)</f>
        <v>11</v>
      </c>
      <c r="AE133" s="284" t="str">
        <f>'Active &amp; Renewals'!J19</f>
        <v>NO REPORT</v>
      </c>
      <c r="AF133" s="281" cm="1">
        <f t="array" ref="AF133">_xlfn.IFS(AE133="SUPERIOR",11,AE133="EXCELLENT",9,AE133="GOOD",7,AE133="LATE",5,AE133="NO GRADE",3,AE133="NA",2,AE133="NO REPORT",0)</f>
        <v>0</v>
      </c>
      <c r="AG133" s="284" t="str">
        <f>'Active &amp; Renewals'!L19</f>
        <v>NO REPORT</v>
      </c>
      <c r="AH133" s="281" cm="1">
        <f t="array" ref="AH133">_xlfn.IFS(AG133="SUPERIOR",11,AG133="EXCELLENT",9,AG133="GOOD",7,AG133="LATE",5,AG133="NO GRADE",3,AG133="NA",2,AG133="NO REPORT",0)</f>
        <v>0</v>
      </c>
      <c r="AI133" s="252">
        <f t="shared" si="173"/>
        <v>22</v>
      </c>
      <c r="AJ133" s="188" t="s">
        <v>656</v>
      </c>
      <c r="AK133" s="252" cm="1">
        <f t="array" ref="AK133">_xlfn.IFS(AJ133="8/8",11,AJ133="7/8",7,AJ133="6/8",6,AJ133="5/8",5,AJ133="4/8",4,AJ133="3/8",3,AJ133="2/8",2,AJ133="1/8",1,AJ133="0/8",0,TRUE,0)</f>
        <v>7</v>
      </c>
      <c r="AL133" s="189">
        <v>4</v>
      </c>
      <c r="AM133" s="300" cm="1">
        <f t="array" ref="AM133">_xlfn.IFS(AL133&gt;6,11,AL133&gt;=4,10,AL133&gt;=2,9,AL133=1,8,TRUE,0)</f>
        <v>10</v>
      </c>
      <c r="AN133" s="184">
        <f>Donations!E22</f>
        <v>300</v>
      </c>
      <c r="AO133" s="300" cm="1">
        <f t="array" ref="AO133">_xlfn.IFS(AN133&gt;125,11,AN133&gt;=116,10,AN133&gt;=101,9,AN133=100,8,AN133&gt;=86,7,AN133&gt;=71,6,AN133&gt;=61,5,AN133&gt;=51,4,AN133&gt;=41,3,AN133&gt;=26,2,AN133&gt;=1,1,TRUE,0)</f>
        <v>11</v>
      </c>
      <c r="AP133" s="184">
        <f>Donations!F22</f>
        <v>150</v>
      </c>
      <c r="AQ133" s="300" cm="1">
        <f t="array" ref="AQ133">_xlfn.IFS(AP133&gt;600,11,AP133&gt;=551,10,AP133&gt;=501,9,AP133=500,8,AP133&gt;=326,7,AP133&gt;=251,6,AP133&gt;=201,5,AP133&gt;=151,4,AP133&gt;=101,3,AP133&gt;=76,2,AP133&gt;=1,1,TRUE,0)</f>
        <v>3</v>
      </c>
      <c r="AR133" s="350"/>
      <c r="AS133" s="350"/>
      <c r="AT133" s="350"/>
      <c r="AU133" s="353"/>
      <c r="AV133" s="191">
        <v>3</v>
      </c>
      <c r="AW133" s="191">
        <v>5</v>
      </c>
      <c r="AX133" s="187">
        <v>5</v>
      </c>
      <c r="AY133" s="252">
        <f t="shared" si="175"/>
        <v>13</v>
      </c>
      <c r="AZ133" s="192"/>
      <c r="BA133" s="181"/>
      <c r="BB133" s="193">
        <v>0</v>
      </c>
      <c r="BC133" s="252" cm="1">
        <f t="array" ref="BC133">_xlfn.IFS(BB133=0,11,TRUE,0)</f>
        <v>11</v>
      </c>
      <c r="BD133" s="183">
        <v>4</v>
      </c>
      <c r="BE133" s="183">
        <v>4</v>
      </c>
      <c r="BF133" s="183">
        <v>4</v>
      </c>
      <c r="BG133" s="252">
        <f t="shared" si="176"/>
        <v>12</v>
      </c>
      <c r="BH133" s="183">
        <v>2</v>
      </c>
      <c r="BI133" s="183">
        <v>3</v>
      </c>
      <c r="BJ133" s="183">
        <v>3</v>
      </c>
      <c r="BK133" s="252">
        <f t="shared" si="177"/>
        <v>8</v>
      </c>
    </row>
    <row r="134" spans="1:63" ht="15.75" x14ac:dyDescent="0.25">
      <c r="A134" s="180" t="s">
        <v>8</v>
      </c>
      <c r="B134" s="252">
        <f t="shared" si="164"/>
        <v>104</v>
      </c>
      <c r="C134" s="253">
        <f t="shared" si="178"/>
        <v>10</v>
      </c>
      <c r="D134" s="260">
        <f>'Lodge Rank by District'!E98</f>
        <v>80</v>
      </c>
      <c r="E134" s="9" t="str">
        <f>'Active &amp; Renewals'!C24</f>
        <v>843</v>
      </c>
      <c r="F134" s="9" t="str">
        <f>'Active &amp; Renewals'!D24</f>
        <v>890</v>
      </c>
      <c r="G134" s="2">
        <f t="shared" si="165"/>
        <v>47</v>
      </c>
      <c r="H134" s="252" cm="1">
        <f t="array" ref="H134">_xlfn.IFS(G134&gt;20,11,G134&gt;11,10,G134&gt;2,9,G134&gt;0,8,G134&gt;-6,7,G134&gt;-11,6,G134&gt;-16,5,G134&gt;-21,4,G134&gt;-26,3,G134&gt;-31,2,G134&gt;-36,1,TRUE,0)</f>
        <v>11</v>
      </c>
      <c r="I134" s="113" t="str">
        <f>'Active &amp; Renewals'!E24</f>
        <v>87.86</v>
      </c>
      <c r="J134" s="252" cm="1">
        <f t="array" ref="J134">_xlfn.IFS(VALUE(I134)&gt;=90.5,11,VALUE(I134)&gt;=85.5,10,VALUE(I134)&gt;=80.5,9,VALUE(I134)&gt;=75.5,8,VALUE(I134)&gt;=74.5,7,VALUE(I134)&gt;=70.5,6,VALUE(I134)&gt;=64.5,5,VALUE(I134)&gt;=60.5,4,VALUE(I134)&gt;=54.5,3,VALUE(I134)&gt;=50.5,2,VALUE(I134)&gt;=44.5,1,TRUE,0)</f>
        <v>10</v>
      </c>
      <c r="K134" s="195">
        <v>263</v>
      </c>
      <c r="L134" s="195">
        <f>Donations!B96</f>
        <v>1100</v>
      </c>
      <c r="M134" s="267">
        <f t="shared" si="166"/>
        <v>837</v>
      </c>
      <c r="N134" s="268">
        <f t="shared" si="167"/>
        <v>4.1825095057034218</v>
      </c>
      <c r="O134" s="252" cm="1">
        <f t="array" ref="O134">_xlfn.IFS(N134&gt;=115.5%,11,N134&gt;=110.5%,10,N134&gt;=100.5%,9,N134&gt;=99.5%,8,N134&gt;=89.5%,7,N134&gt;=75.5%,6,N134&gt;=60.5%,5,N134&gt;=45.5%,4,N134&gt;=30.5%,3,N134&gt;=15.5%,2,N134&gt;=0.5%,1,TRUE,0)</f>
        <v>11</v>
      </c>
      <c r="P134" s="12">
        <f t="shared" si="168"/>
        <v>1.3048635824436536</v>
      </c>
      <c r="Q134" s="252" cm="1">
        <f t="array" ref="Q134">_xlfn.IFS(P134&gt;10,11,P134&gt;=8.01,10,P134&gt;=6.01,9,P134&gt;=4.01,8,P134=4,7,P134&gt;=3.01,6,P134&gt;=2.01,5,P134&gt;=1.51,4,P134&gt;=1.01,3,P134&gt;=0.51,2,P134&gt;=0.01,1,TRUE,0)</f>
        <v>3</v>
      </c>
      <c r="R134" s="269">
        <v>2529</v>
      </c>
      <c r="S134" s="184">
        <f>Donations!C96</f>
        <v>400</v>
      </c>
      <c r="T134" s="279">
        <f t="shared" si="169"/>
        <v>0.47449584816132861</v>
      </c>
      <c r="U134" s="10">
        <f t="shared" si="170"/>
        <v>-2129</v>
      </c>
      <c r="V134" s="252" cm="1">
        <f t="array" ref="V134">_xlfn.IFS(T134&gt;=120%,11,T134&gt;=110.5%,10,T134&gt;=100.5%,9,T134&gt;99.9%,8,T134&gt;=85.5%,7,T134&gt;=72.5%,6,T134&gt;=65.5%,5,T134&gt;=55.5%,4,T134&gt;=45.5%,3,T134&gt;=35.5%,2,T134&gt;=20.5%,1,TRUE,0)</f>
        <v>3</v>
      </c>
      <c r="W134" s="269">
        <f t="shared" si="171"/>
        <v>126.44999999999999</v>
      </c>
      <c r="X134" s="184">
        <f>Donations!D96</f>
        <v>132.30000000000001</v>
      </c>
      <c r="Y134" s="269">
        <f t="shared" si="172"/>
        <v>0.15693950177935945</v>
      </c>
      <c r="Z134" s="252" cm="1">
        <f t="array" ref="Z134">_xlfn.IFS(Y134&gt;=0.26,11,Y134&gt;=0.21,10,Y134&gt;=0.16,9,Y134=0.15,8,Y134=0.14,7,Y134=0.13,6,Y134&gt;=0.11,5,Y134&gt;=0.09,4,Y134&gt;=0.07,3,Y134&gt;=0.04,2,Y134&gt;=0.01,1,TRUE,0)</f>
        <v>5</v>
      </c>
      <c r="AA134" s="294" t="str">
        <f>'Active &amp; Renewals'!F24</f>
        <v>SUPERIOR</v>
      </c>
      <c r="AB134" s="281" cm="1">
        <f t="array" ref="AB134">_xlfn.IFS(AA134="SUPERIOR",11,AA134="EXCELLENT",9,AA134="GOOD",7,AA134="LATE",5,AA134="NO GRADE",3,AA134="NA",2,AA134="NO REPORT",0)</f>
        <v>11</v>
      </c>
      <c r="AC134" s="294" t="str">
        <f>'Active &amp; Renewals'!H24</f>
        <v>SUPERIOR</v>
      </c>
      <c r="AD134" s="281" cm="1">
        <f t="array" ref="AD134">_xlfn.IFS(AC134="SUPERIOR",11,AC134="EXCELLENT",9,AC134="GOOD",7,AC134="LATE",5,AC134="NO GRADE",3,AC134="NA",2,AC134="NO REPORT",0)</f>
        <v>11</v>
      </c>
      <c r="AE134" s="284" t="str">
        <f>'Active &amp; Renewals'!J24</f>
        <v>NO REPORT</v>
      </c>
      <c r="AF134" s="281" cm="1">
        <f t="array" ref="AF134">_xlfn.IFS(AE134="SUPERIOR",11,AE134="EXCELLENT",9,AE134="GOOD",7,AE134="LATE",5,AE134="NO GRADE",3,AE134="NA",2,AE134="NO REPORT",0)</f>
        <v>0</v>
      </c>
      <c r="AG134" s="284" t="str">
        <f>'Active &amp; Renewals'!L24</f>
        <v>NO REPORT</v>
      </c>
      <c r="AH134" s="281" cm="1">
        <f t="array" ref="AH134">_xlfn.IFS(AG134="SUPERIOR",11,AG134="EXCELLENT",9,AG134="GOOD",7,AG134="LATE",5,AG134="NO GRADE",3,AG134="NA",2,AG134="NO REPORT",0)</f>
        <v>0</v>
      </c>
      <c r="AI134" s="252">
        <f t="shared" si="173"/>
        <v>22</v>
      </c>
      <c r="AJ134" s="188" t="s">
        <v>661</v>
      </c>
      <c r="AK134" s="252" cm="1">
        <f t="array" ref="AK134">_xlfn.IFS(AJ134="8/8",11,AJ134="7/8",7,AJ134="6/8",6,AJ134="5/8",5,AJ134="4/8",4,AJ134="3/8",3,AJ134="2/8",2,AJ134="1/8",1,AJ134="0/8",0,TRUE,0)</f>
        <v>2</v>
      </c>
      <c r="AL134" s="189">
        <v>2</v>
      </c>
      <c r="AM134" s="300" cm="1">
        <f t="array" ref="AM134">_xlfn.IFS(AL134&gt;6,11,AL134&gt;=4,10,AL134&gt;=2,9,AL134=1,8,TRUE,0)</f>
        <v>9</v>
      </c>
      <c r="AN134" s="184">
        <f>Donations!E96</f>
        <v>0</v>
      </c>
      <c r="AO134" s="300" cm="1">
        <f t="array" ref="AO134">_xlfn.IFS(AN134&gt;125,11,AN134&gt;=116,10,AN134&gt;=101,9,AN134=100,8,AN134&gt;=86,7,AN134&gt;=71,6,AN134&gt;=61,5,AN134&gt;=51,4,AN134&gt;=41,3,AN134&gt;=26,2,AN134&gt;=1,1,TRUE,0)</f>
        <v>0</v>
      </c>
      <c r="AP134" s="184">
        <f>Donations!F96</f>
        <v>50</v>
      </c>
      <c r="AQ134" s="300" cm="1">
        <f t="array" ref="AQ134">_xlfn.IFS(AP134&gt;600,11,AP134&gt;=551,10,AP134&gt;=501,9,AP134=500,8,AP134&gt;=326,7,AP134&gt;=251,6,AP134&gt;=201,5,AP134&gt;=151,4,AP134&gt;=101,3,AP134&gt;=76,2,AP134&gt;=1,1,TRUE,0)</f>
        <v>1</v>
      </c>
      <c r="AR134" s="350"/>
      <c r="AS134" s="350"/>
      <c r="AT134" s="350"/>
      <c r="AU134" s="353"/>
      <c r="AV134" s="191">
        <v>3</v>
      </c>
      <c r="AW134" s="191">
        <v>3</v>
      </c>
      <c r="AX134" s="187">
        <v>4</v>
      </c>
      <c r="AY134" s="252">
        <f t="shared" si="175"/>
        <v>10</v>
      </c>
      <c r="AZ134" s="192"/>
      <c r="BA134" s="181"/>
      <c r="BB134" s="193">
        <v>0</v>
      </c>
      <c r="BC134" s="252" cm="1">
        <f t="array" ref="BC134">_xlfn.IFS(BB134=0,11,TRUE,0)</f>
        <v>11</v>
      </c>
      <c r="BD134" s="183">
        <v>0</v>
      </c>
      <c r="BE134" s="183">
        <v>1</v>
      </c>
      <c r="BF134" s="183">
        <v>3</v>
      </c>
      <c r="BG134" s="252">
        <f t="shared" si="176"/>
        <v>4</v>
      </c>
      <c r="BH134" s="183">
        <v>0</v>
      </c>
      <c r="BI134" s="183">
        <v>2</v>
      </c>
      <c r="BJ134" s="183">
        <v>0</v>
      </c>
      <c r="BK134" s="252">
        <f t="shared" si="177"/>
        <v>2</v>
      </c>
    </row>
    <row r="135" spans="1:63" ht="15.75" x14ac:dyDescent="0.25">
      <c r="A135" s="180" t="s">
        <v>7</v>
      </c>
      <c r="B135" s="252">
        <f t="shared" si="164"/>
        <v>136</v>
      </c>
      <c r="C135" s="253">
        <f t="shared" si="178"/>
        <v>7</v>
      </c>
      <c r="D135" s="260">
        <f>'Lodge Rank by District'!E99</f>
        <v>35</v>
      </c>
      <c r="E135" s="9" t="str">
        <f>'Active &amp; Renewals'!C46</f>
        <v>829</v>
      </c>
      <c r="F135" s="9" t="str">
        <f>'Active &amp; Renewals'!D46</f>
        <v>871</v>
      </c>
      <c r="G135" s="2">
        <f t="shared" si="165"/>
        <v>42</v>
      </c>
      <c r="H135" s="252" cm="1">
        <f t="array" ref="H135">_xlfn.IFS(G135&gt;20,11,G135&gt;11,10,G135&gt;2,9,G135&gt;0,8,G135&gt;-6,7,G135&gt;-11,6,G135&gt;-16,5,G135&gt;-21,4,G135&gt;-26,3,G135&gt;-31,2,G135&gt;-36,1,TRUE,0)</f>
        <v>11</v>
      </c>
      <c r="I135" s="113" t="str">
        <f>'Active &amp; Renewals'!E46</f>
        <v>84.75</v>
      </c>
      <c r="J135" s="252" cm="1">
        <f t="array" ref="J135">_xlfn.IFS(VALUE(I135)&gt;=90.5,11,VALUE(I135)&gt;=85.5,10,VALUE(I135)&gt;=80.5,9,VALUE(I135)&gt;=75.5,8,VALUE(I135)&gt;=74.5,7,VALUE(I135)&gt;=70.5,6,VALUE(I135)&gt;=64.5,5,VALUE(I135)&gt;=60.5,4,VALUE(I135)&gt;=54.5,3,VALUE(I135)&gt;=50.5,2,VALUE(I135)&gt;=44.5,1,TRUE,0)</f>
        <v>9</v>
      </c>
      <c r="K135" s="195">
        <v>4028.46</v>
      </c>
      <c r="L135" s="195">
        <f>Donations!B40</f>
        <v>4348.24</v>
      </c>
      <c r="M135" s="267">
        <f t="shared" si="166"/>
        <v>319.77999999999975</v>
      </c>
      <c r="N135" s="268">
        <f t="shared" si="167"/>
        <v>1.0793802098072216</v>
      </c>
      <c r="O135" s="252" cm="1">
        <f t="array" ref="O135">_xlfn.IFS(N135&gt;=115.5%,11,N135&gt;=110.5%,10,N135&gt;=100.5%,9,N135&gt;=99.5%,8,N135&gt;=89.5%,7,N135&gt;=75.5%,6,N135&gt;=60.5%,5,N135&gt;=45.5%,4,N135&gt;=30.5%,3,N135&gt;=15.5%,2,N135&gt;=0.5%,1,TRUE,0)</f>
        <v>9</v>
      </c>
      <c r="P135" s="12">
        <f t="shared" si="168"/>
        <v>5.2451628468033773</v>
      </c>
      <c r="Q135" s="252" cm="1">
        <f t="array" ref="Q135">_xlfn.IFS(P135&gt;10,11,P135&gt;=8.01,10,P135&gt;=6.01,9,P135&gt;=4.01,8,P135=4,7,P135&gt;=3.01,6,P135&gt;=2.01,5,P135&gt;=1.51,4,P135&gt;=1.01,3,P135&gt;=0.51,2,P135&gt;=0.01,1,TRUE,0)</f>
        <v>8</v>
      </c>
      <c r="R135" s="269">
        <v>2487</v>
      </c>
      <c r="S135" s="184">
        <f>Donations!C40</f>
        <v>1000.5</v>
      </c>
      <c r="T135" s="279">
        <f t="shared" si="169"/>
        <v>1.206875753920386</v>
      </c>
      <c r="U135" s="10">
        <f t="shared" si="170"/>
        <v>-1486.5</v>
      </c>
      <c r="V135" s="252" cm="1">
        <f t="array" ref="V135">_xlfn.IFS(T135&gt;=120%,11,T135&gt;=110.5%,10,T135&gt;=100.5%,9,T135&gt;99.9%,8,T135&gt;=85.5%,7,T135&gt;=72.5%,6,T135&gt;=65.5%,5,T135&gt;=55.5%,4,T135&gt;=45.5%,3,T135&gt;=35.5%,2,T135&gt;=20.5%,1,TRUE,0)</f>
        <v>11</v>
      </c>
      <c r="W135" s="269">
        <f t="shared" si="171"/>
        <v>124.35</v>
      </c>
      <c r="X135" s="184">
        <f>Donations!D40</f>
        <v>200</v>
      </c>
      <c r="Y135" s="269">
        <f t="shared" si="172"/>
        <v>0.24125452352231605</v>
      </c>
      <c r="Z135" s="252" cm="1">
        <f t="array" ref="Z135">_xlfn.IFS(Y135&gt;=0.26,11,Y135&gt;=0.21,10,Y135&gt;=0.16,9,Y135=0.15,8,Y135=0.14,7,Y135=0.13,6,Y135&gt;=0.11,5,Y135&gt;=0.09,4,Y135&gt;=0.07,3,Y135&gt;=0.04,2,Y135&gt;=0.01,1,TRUE,0)</f>
        <v>10</v>
      </c>
      <c r="AA135" s="294" t="str">
        <f>'Active &amp; Renewals'!F46</f>
        <v>NO GRADE</v>
      </c>
      <c r="AB135" s="281" cm="1">
        <f t="array" ref="AB135">_xlfn.IFS(AA135="SUPERIOR",11,AA135="EXCELLENT",9,AA135="GOOD",7,AA135="LATE",5,AA135="NO GRADE",3,AA135="NA",2,AA135="NO REPORT",0)</f>
        <v>3</v>
      </c>
      <c r="AC135" s="294" t="str">
        <f>'Active &amp; Renewals'!H46</f>
        <v>EXCELLENT</v>
      </c>
      <c r="AD135" s="281" cm="1">
        <f t="array" ref="AD135">_xlfn.IFS(AC135="SUPERIOR",11,AC135="EXCELLENT",9,AC135="GOOD",7,AC135="LATE",5,AC135="NO GRADE",3,AC135="NA",2,AC135="NO REPORT",0)</f>
        <v>9</v>
      </c>
      <c r="AE135" s="284" t="str">
        <f>'Active &amp; Renewals'!J46</f>
        <v>NO REPORT</v>
      </c>
      <c r="AF135" s="281" cm="1">
        <f t="array" ref="AF135">_xlfn.IFS(AE135="SUPERIOR",11,AE135="EXCELLENT",9,AE135="GOOD",7,AE135="LATE",5,AE135="NO GRADE",3,AE135="NA",2,AE135="NO REPORT",0)</f>
        <v>0</v>
      </c>
      <c r="AG135" s="284" t="str">
        <f>'Active &amp; Renewals'!L46</f>
        <v>NO REPORT</v>
      </c>
      <c r="AH135" s="281" cm="1">
        <f t="array" ref="AH135">_xlfn.IFS(AG135="SUPERIOR",11,AG135="EXCELLENT",9,AG135="GOOD",7,AG135="LATE",5,AG135="NO GRADE",3,AG135="NA",2,AG135="NO REPORT",0)</f>
        <v>0</v>
      </c>
      <c r="AI135" s="252">
        <f t="shared" si="173"/>
        <v>12</v>
      </c>
      <c r="AJ135" s="188" t="s">
        <v>655</v>
      </c>
      <c r="AK135" s="252" cm="1">
        <f t="array" ref="AK135">_xlfn.IFS(AJ135="8/8",11,AJ135="7/8",7,AJ135="6/8",6,AJ135="5/8",5,AJ135="4/8",4,AJ135="3/8",3,AJ135="2/8",2,AJ135="1/8",1,AJ135="0/8",0,TRUE,0)</f>
        <v>11</v>
      </c>
      <c r="AL135" s="189">
        <v>1</v>
      </c>
      <c r="AM135" s="300" cm="1">
        <f t="array" ref="AM135">_xlfn.IFS(AL135&gt;6,11,AL135&gt;=4,10,AL135&gt;=2,9,AL135=1,8,TRUE,0)</f>
        <v>8</v>
      </c>
      <c r="AN135" s="184">
        <f>Donations!E40</f>
        <v>100</v>
      </c>
      <c r="AO135" s="300" cm="1">
        <f t="array" ref="AO135">_xlfn.IFS(AN135&gt;125,11,AN135&gt;=116,10,AN135&gt;=101,9,AN135=100,8,AN135&gt;=86,7,AN135&gt;=71,6,AN135&gt;=61,5,AN135&gt;=51,4,AN135&gt;=41,3,AN135&gt;=26,2,AN135&gt;=1,1,TRUE,0)</f>
        <v>8</v>
      </c>
      <c r="AP135" s="184">
        <f>Donations!F40</f>
        <v>0</v>
      </c>
      <c r="AQ135" s="300" cm="1">
        <f t="array" ref="AQ135">_xlfn.IFS(AP135&gt;600,11,AP135&gt;=551,10,AP135&gt;=501,9,AP135=500,8,AP135&gt;=326,7,AP135&gt;=251,6,AP135&gt;=201,5,AP135&gt;=151,4,AP135&gt;=101,3,AP135&gt;=76,2,AP135&gt;=1,1,TRUE,0)</f>
        <v>0</v>
      </c>
      <c r="AR135" s="350"/>
      <c r="AS135" s="350"/>
      <c r="AT135" s="350"/>
      <c r="AU135" s="353"/>
      <c r="AV135" s="191">
        <v>5</v>
      </c>
      <c r="AW135" s="191">
        <v>1</v>
      </c>
      <c r="AX135" s="187">
        <v>4</v>
      </c>
      <c r="AY135" s="252">
        <f t="shared" si="175"/>
        <v>10</v>
      </c>
      <c r="AZ135" s="183"/>
      <c r="BA135" s="181"/>
      <c r="BB135" s="193">
        <v>0</v>
      </c>
      <c r="BC135" s="252" cm="1">
        <f t="array" ref="BC135">_xlfn.IFS(BB135=0,11,TRUE,0)</f>
        <v>11</v>
      </c>
      <c r="BD135" s="183">
        <v>4</v>
      </c>
      <c r="BE135" s="183">
        <v>3</v>
      </c>
      <c r="BF135" s="183">
        <v>4</v>
      </c>
      <c r="BG135" s="252">
        <f t="shared" si="176"/>
        <v>11</v>
      </c>
      <c r="BH135" s="183">
        <v>3</v>
      </c>
      <c r="BI135" s="183">
        <v>2</v>
      </c>
      <c r="BJ135" s="183">
        <v>2</v>
      </c>
      <c r="BK135" s="252">
        <f t="shared" si="177"/>
        <v>7</v>
      </c>
    </row>
    <row r="136" spans="1:63" ht="15.75" x14ac:dyDescent="0.25">
      <c r="A136" s="180" t="s">
        <v>6</v>
      </c>
      <c r="B136" s="252">
        <f t="shared" si="164"/>
        <v>137</v>
      </c>
      <c r="C136" s="253">
        <f t="shared" si="178"/>
        <v>5</v>
      </c>
      <c r="D136" s="260">
        <f>'Lodge Rank by District'!E100</f>
        <v>33</v>
      </c>
      <c r="E136" s="9" t="str">
        <f>'Active &amp; Renewals'!C55</f>
        <v>591</v>
      </c>
      <c r="F136" s="9" t="str">
        <f>'Active &amp; Renewals'!D55</f>
        <v>622</v>
      </c>
      <c r="G136" s="2">
        <f t="shared" si="165"/>
        <v>31</v>
      </c>
      <c r="H136" s="252" cm="1">
        <f t="array" ref="H136">_xlfn.IFS(G136&gt;20,11,G136&gt;11,10,G136&gt;2,9,G136&gt;0,8,G136&gt;-6,7,G136&gt;-11,6,G136&gt;-16,5,G136&gt;-21,4,G136&gt;-26,3,G136&gt;-31,2,G136&gt;-36,1,TRUE,0)</f>
        <v>11</v>
      </c>
      <c r="I136" s="113" t="str">
        <f>'Active &amp; Renewals'!E55</f>
        <v>85.71</v>
      </c>
      <c r="J136" s="252" cm="1">
        <f t="array" ref="J136">_xlfn.IFS(VALUE(I136)&gt;=90.5,11,VALUE(I136)&gt;=85.5,10,VALUE(I136)&gt;=80.5,9,VALUE(I136)&gt;=75.5,8,VALUE(I136)&gt;=74.5,7,VALUE(I136)&gt;=70.5,6,VALUE(I136)&gt;=64.5,5,VALUE(I136)&gt;=60.5,4,VALUE(I136)&gt;=54.5,3,VALUE(I136)&gt;=50.5,2,VALUE(I136)&gt;=44.5,1,TRUE,0)</f>
        <v>10</v>
      </c>
      <c r="K136" s="195">
        <v>2650</v>
      </c>
      <c r="L136" s="195">
        <f>Donations!B2</f>
        <v>3715</v>
      </c>
      <c r="M136" s="267">
        <f t="shared" si="166"/>
        <v>1065</v>
      </c>
      <c r="N136" s="268">
        <f t="shared" si="167"/>
        <v>1.4018867924528302</v>
      </c>
      <c r="O136" s="252" cm="1">
        <f t="array" ref="O136">_xlfn.IFS(N136&gt;=115.5%,11,N136&gt;=110.5%,10,N136&gt;=100.5%,9,N136&gt;=99.5%,8,N136&gt;=89.5%,7,N136&gt;=75.5%,6,N136&gt;=60.5%,5,N136&gt;=45.5%,4,N136&gt;=30.5%,3,N136&gt;=15.5%,2,N136&gt;=0.5%,1,TRUE,0)</f>
        <v>11</v>
      </c>
      <c r="P136" s="12">
        <f t="shared" si="168"/>
        <v>6.2859560067681892</v>
      </c>
      <c r="Q136" s="252" cm="1">
        <f t="array" ref="Q136">_xlfn.IFS(P136&gt;10,11,P136&gt;=8.01,10,P136&gt;=6.01,9,P136&gt;=4.01,8,P136=4,7,P136&gt;=3.01,6,P136&gt;=2.01,5,P136&gt;=1.51,4,P136&gt;=1.01,3,P136&gt;=0.51,2,P136&gt;=0.01,1,TRUE,0)</f>
        <v>9</v>
      </c>
      <c r="R136" s="269">
        <v>1773</v>
      </c>
      <c r="S136" s="193">
        <f>Donations!C2</f>
        <v>1773</v>
      </c>
      <c r="T136" s="279">
        <f t="shared" si="169"/>
        <v>3</v>
      </c>
      <c r="U136" s="10">
        <f t="shared" si="170"/>
        <v>0</v>
      </c>
      <c r="V136" s="252" cm="1">
        <f t="array" ref="V136">_xlfn.IFS(T136&gt;=120%,11,T136&gt;=110.5%,10,T136&gt;=100.5%,9,T136&gt;99.9%,8,T136&gt;=85.5%,7,T136&gt;=72.5%,6,T136&gt;=65.5%,5,T136&gt;=55.5%,4,T136&gt;=45.5%,3,T136&gt;=35.5%,2,T136&gt;=20.5%,1,TRUE,0)</f>
        <v>11</v>
      </c>
      <c r="W136" s="269">
        <f t="shared" si="171"/>
        <v>88.649999999999991</v>
      </c>
      <c r="X136" s="193">
        <f>Donations!D2</f>
        <v>400</v>
      </c>
      <c r="Y136" s="269">
        <f t="shared" si="172"/>
        <v>0.67681895093062605</v>
      </c>
      <c r="Z136" s="252" cm="1">
        <f t="array" ref="Z136">_xlfn.IFS(Y136&gt;=0.26,11,Y136&gt;=0.21,10,Y136&gt;=0.16,9,Y136=0.15,8,Y136=0.14,7,Y136=0.13,6,Y136&gt;=0.11,5,Y136&gt;=0.09,4,Y136&gt;=0.07,3,Y136&gt;=0.04,2,Y136&gt;=0.01,1,TRUE,0)</f>
        <v>11</v>
      </c>
      <c r="AA136" s="294" t="str">
        <f>'Active &amp; Renewals'!F55</f>
        <v>SUPERIOR</v>
      </c>
      <c r="AB136" s="281" cm="1">
        <f t="array" ref="AB136">_xlfn.IFS(AA136="SUPERIOR",11,AA136="EXCELLENT",9,AA136="GOOD",7,AA136="LATE",5,AA136="NO GRADE",3,AA136="NA",2,AA136="NO REPORT",0)</f>
        <v>11</v>
      </c>
      <c r="AC136" s="294" t="str">
        <f>'Active &amp; Renewals'!H55</f>
        <v>SUPERIOR</v>
      </c>
      <c r="AD136" s="281" cm="1">
        <f t="array" ref="AD136">_xlfn.IFS(AC136="SUPERIOR",11,AC136="EXCELLENT",9,AC136="GOOD",7,AC136="LATE",5,AC136="NO GRADE",3,AC136="NA",2,AC136="NO REPORT",0)</f>
        <v>11</v>
      </c>
      <c r="AE136" s="284" t="str">
        <f>'Active &amp; Renewals'!J55</f>
        <v>NO REPORT</v>
      </c>
      <c r="AF136" s="281" cm="1">
        <f t="array" ref="AF136">_xlfn.IFS(AE136="SUPERIOR",11,AE136="EXCELLENT",9,AE136="GOOD",7,AE136="LATE",5,AE136="NO GRADE",3,AE136="NA",2,AE136="NO REPORT",0)</f>
        <v>0</v>
      </c>
      <c r="AG136" s="284" t="str">
        <f>'Active &amp; Renewals'!L55</f>
        <v>NO REPORT</v>
      </c>
      <c r="AH136" s="281" cm="1">
        <f t="array" ref="AH136">_xlfn.IFS(AG136="SUPERIOR",11,AG136="EXCELLENT",9,AG136="GOOD",7,AG136="LATE",5,AG136="NO GRADE",3,AG136="NA",2,AG136="NO REPORT",0)</f>
        <v>0</v>
      </c>
      <c r="AI136" s="252">
        <f t="shared" si="173"/>
        <v>22</v>
      </c>
      <c r="AJ136" s="188" t="s">
        <v>657</v>
      </c>
      <c r="AK136" s="252" cm="1">
        <f t="array" ref="AK136">_xlfn.IFS(AJ136="8/8",11,AJ136="7/8",7,AJ136="6/8",6,AJ136="5/8",5,AJ136="4/8",4,AJ136="3/8",3,AJ136="2/8",2,AJ136="1/8",1,AJ136="0/8",0,TRUE,0)</f>
        <v>3</v>
      </c>
      <c r="AL136" s="189">
        <v>4</v>
      </c>
      <c r="AM136" s="300" cm="1">
        <f t="array" ref="AM136">_xlfn.IFS(AL136&gt;6,11,AL136&gt;=4,10,AL136&gt;=2,9,AL136=1,8,TRUE,0)</f>
        <v>10</v>
      </c>
      <c r="AN136" s="193">
        <f>Donations!E2</f>
        <v>100</v>
      </c>
      <c r="AO136" s="300" cm="1">
        <f t="array" ref="AO136">_xlfn.IFS(AN136&gt;125,11,AN136&gt;=116,10,AN136&gt;=101,9,AN136=100,8,AN136&gt;=86,7,AN136&gt;=71,6,AN136&gt;=61,5,AN136&gt;=51,4,AN136&gt;=41,3,AN136&gt;=26,2,AN136&gt;=1,1,TRUE,0)</f>
        <v>8</v>
      </c>
      <c r="AP136" s="193">
        <f>Donations!F2</f>
        <v>50</v>
      </c>
      <c r="AQ136" s="300" cm="1">
        <f t="array" ref="AQ136">_xlfn.IFS(AP136&gt;600,11,AP136&gt;=551,10,AP136&gt;=501,9,AP136=500,8,AP136&gt;=326,7,AP136&gt;=251,6,AP136&gt;=201,5,AP136&gt;=151,4,AP136&gt;=101,3,AP136&gt;=76,2,AP136&gt;=1,1,TRUE,0)</f>
        <v>1</v>
      </c>
      <c r="AR136" s="350"/>
      <c r="AS136" s="350"/>
      <c r="AT136" s="350"/>
      <c r="AU136" s="353"/>
      <c r="AV136" s="191">
        <v>4</v>
      </c>
      <c r="AW136" s="191">
        <v>5</v>
      </c>
      <c r="AX136" s="187">
        <v>2</v>
      </c>
      <c r="AY136" s="252">
        <f t="shared" si="175"/>
        <v>11</v>
      </c>
      <c r="AZ136" s="192"/>
      <c r="BA136" s="181"/>
      <c r="BB136" s="193">
        <v>0</v>
      </c>
      <c r="BC136" s="252" cm="1">
        <f t="array" ref="BC136">_xlfn.IFS(BB136=0,11,TRUE,0)</f>
        <v>11</v>
      </c>
      <c r="BD136" s="183">
        <v>0</v>
      </c>
      <c r="BE136" s="183">
        <v>2</v>
      </c>
      <c r="BF136" s="183">
        <v>2</v>
      </c>
      <c r="BG136" s="252">
        <f t="shared" si="176"/>
        <v>4</v>
      </c>
      <c r="BH136" s="183">
        <v>0</v>
      </c>
      <c r="BI136" s="183">
        <v>2</v>
      </c>
      <c r="BJ136" s="183">
        <v>2</v>
      </c>
      <c r="BK136" s="252">
        <f t="shared" si="177"/>
        <v>4</v>
      </c>
    </row>
    <row r="137" spans="1:63" ht="15.75" x14ac:dyDescent="0.25">
      <c r="A137" s="180" t="s">
        <v>5</v>
      </c>
      <c r="B137" s="252">
        <f t="shared" si="164"/>
        <v>138</v>
      </c>
      <c r="C137" s="253">
        <f t="shared" si="178"/>
        <v>4</v>
      </c>
      <c r="D137" s="260">
        <f>'Lodge Rank by District'!E101</f>
        <v>31</v>
      </c>
      <c r="E137" s="9" t="str">
        <f>'Active &amp; Renewals'!C63</f>
        <v>2669</v>
      </c>
      <c r="F137" s="9" t="str">
        <f>'Active &amp; Renewals'!D63</f>
        <v>2628</v>
      </c>
      <c r="G137" s="2">
        <f t="shared" si="165"/>
        <v>-41</v>
      </c>
      <c r="H137" s="252" cm="1">
        <f t="array" ref="H137">_xlfn.IFS(G137&gt;20,11,G137&gt;11,10,G137&gt;2,9,G137&gt;0,8,G137&gt;-6,7,G137&gt;-11,6,G137&gt;-16,5,G137&gt;-21,4,G137&gt;-26,3,G137&gt;-31,2,G137&gt;-36,1,TRUE,0)</f>
        <v>0</v>
      </c>
      <c r="I137" s="113" t="str">
        <f>'Active &amp; Renewals'!E63</f>
        <v>88.49</v>
      </c>
      <c r="J137" s="252" cm="1">
        <f t="array" ref="J137">_xlfn.IFS(VALUE(I137)&gt;=90.5,11,VALUE(I137)&gt;=85.5,10,VALUE(I137)&gt;=80.5,9,VALUE(I137)&gt;=75.5,8,VALUE(I137)&gt;=74.5,7,VALUE(I137)&gt;=70.5,6,VALUE(I137)&gt;=64.5,5,VALUE(I137)&gt;=60.5,4,VALUE(I137)&gt;=54.5,3,VALUE(I137)&gt;=50.5,2,VALUE(I137)&gt;=44.5,1,TRUE,0)</f>
        <v>10</v>
      </c>
      <c r="K137" s="195">
        <v>20241</v>
      </c>
      <c r="L137" s="195">
        <f>Donations!B27</f>
        <v>20879</v>
      </c>
      <c r="M137" s="267">
        <f t="shared" si="166"/>
        <v>638</v>
      </c>
      <c r="N137" s="268">
        <f t="shared" si="167"/>
        <v>1.0315201818091992</v>
      </c>
      <c r="O137" s="252" cm="1">
        <f t="array" ref="O137">_xlfn.IFS(N137&gt;=115.5%,11,N137&gt;=110.5%,10,N137&gt;=100.5%,9,N137&gt;=99.5%,8,N137&gt;=89.5%,7,N137&gt;=75.5%,6,N137&gt;=60.5%,5,N137&gt;=45.5%,4,N137&gt;=30.5%,3,N137&gt;=15.5%,2,N137&gt;=0.5%,1,TRUE,0)</f>
        <v>9</v>
      </c>
      <c r="P137" s="12">
        <f t="shared" si="168"/>
        <v>7.8227800674409895</v>
      </c>
      <c r="Q137" s="252" cm="1">
        <f t="array" ref="Q137">_xlfn.IFS(P137&gt;10,11,P137&gt;=8.01,10,P137&gt;=6.01,9,P137&gt;=4.01,8,P137=4,7,P137&gt;=3.01,6,P137&gt;=2.01,5,P137&gt;=1.51,4,P137&gt;=1.01,3,P137&gt;=0.51,2,P137&gt;=0.01,1,TRUE,0)</f>
        <v>9</v>
      </c>
      <c r="R137" s="269">
        <v>8007</v>
      </c>
      <c r="S137" s="184">
        <f>Donations!C27</f>
        <v>2670</v>
      </c>
      <c r="T137" s="279">
        <f t="shared" si="169"/>
        <v>1.0003746721618583</v>
      </c>
      <c r="U137" s="10">
        <f t="shared" si="170"/>
        <v>-5337</v>
      </c>
      <c r="V137" s="252" cm="1">
        <f t="array" ref="V137">_xlfn.IFS(T137&gt;=120%,11,T137&gt;=110.5%,10,T137&gt;=100.5%,9,T137&gt;99.9%,8,T137&gt;=85.5%,7,T137&gt;=72.5%,6,T137&gt;=65.5%,5,T137&gt;=55.5%,4,T137&gt;=45.5%,3,T137&gt;=35.5%,2,T137&gt;=20.5%,1,TRUE,0)</f>
        <v>8</v>
      </c>
      <c r="W137" s="269">
        <f t="shared" si="171"/>
        <v>400.34999999999997</v>
      </c>
      <c r="X137" s="184">
        <f>Donations!D27</f>
        <v>1000</v>
      </c>
      <c r="Y137" s="269">
        <f t="shared" si="172"/>
        <v>0.37467216185837393</v>
      </c>
      <c r="Z137" s="252" cm="1">
        <f t="array" ref="Z137">_xlfn.IFS(Y137&gt;=0.26,11,Y137&gt;=0.21,10,Y137&gt;=0.16,9,Y137=0.15,8,Y137=0.14,7,Y137=0.13,6,Y137&gt;=0.11,5,Y137&gt;=0.09,4,Y137&gt;=0.07,3,Y137&gt;=0.04,2,Y137&gt;=0.01,1,TRUE,0)</f>
        <v>11</v>
      </c>
      <c r="AA137" s="294" t="str">
        <f>'Active &amp; Renewals'!F63</f>
        <v>SUPERIOR</v>
      </c>
      <c r="AB137" s="281" cm="1">
        <f t="array" ref="AB137">_xlfn.IFS(AA137="SUPERIOR",11,AA137="EXCELLENT",9,AA137="GOOD",7,AA137="LATE",5,AA137="NO GRADE",3,AA137="NA",2,AA137="NO REPORT",0)</f>
        <v>11</v>
      </c>
      <c r="AC137" s="294" t="str">
        <f>'Active &amp; Renewals'!H63</f>
        <v>SUPERIOR</v>
      </c>
      <c r="AD137" s="281" cm="1">
        <f t="array" ref="AD137">_xlfn.IFS(AC137="SUPERIOR",11,AC137="EXCELLENT",9,AC137="GOOD",7,AC137="LATE",5,AC137="NO GRADE",3,AC137="NA",2,AC137="NO REPORT",0)</f>
        <v>11</v>
      </c>
      <c r="AE137" s="284" t="str">
        <f>'Active &amp; Renewals'!J63</f>
        <v>NO REPORT</v>
      </c>
      <c r="AF137" s="281" cm="1">
        <f t="array" ref="AF137">_xlfn.IFS(AE137="SUPERIOR",11,AE137="EXCELLENT",9,AE137="GOOD",7,AE137="LATE",5,AE137="NO GRADE",3,AE137="NA",2,AE137="NO REPORT",0)</f>
        <v>0</v>
      </c>
      <c r="AG137" s="284" t="str">
        <f>'Active &amp; Renewals'!L63</f>
        <v>NO REPORT</v>
      </c>
      <c r="AH137" s="281" cm="1">
        <f t="array" ref="AH137">_xlfn.IFS(AG137="SUPERIOR",11,AG137="EXCELLENT",9,AG137="GOOD",7,AG137="LATE",5,AG137="NO GRADE",3,AG137="NA",2,AG137="NO REPORT",0)</f>
        <v>0</v>
      </c>
      <c r="AI137" s="252">
        <f t="shared" si="173"/>
        <v>22</v>
      </c>
      <c r="AJ137" s="243" t="s">
        <v>660</v>
      </c>
      <c r="AK137" s="252" cm="1">
        <f t="array" ref="AK137">_xlfn.IFS(AJ137="8/8",11,AJ137="7/8",7,AJ137="6/8",6,AJ137="5/8",5,AJ137="4/8",4,AJ137="3/8",3,AJ137="2/8",2,AJ137="1/8",1,AJ137="0/8",0,TRUE,0)</f>
        <v>5</v>
      </c>
      <c r="AL137" s="189">
        <v>4</v>
      </c>
      <c r="AM137" s="300" cm="1">
        <f t="array" ref="AM137">_xlfn.IFS(AL137&gt;6,11,AL137&gt;=4,10,AL137&gt;=2,9,AL137=1,8,TRUE,0)</f>
        <v>10</v>
      </c>
      <c r="AN137" s="184">
        <f>Donations!E27</f>
        <v>100</v>
      </c>
      <c r="AO137" s="300" cm="1">
        <f t="array" ref="AO137">_xlfn.IFS(AN137&gt;125,11,AN137&gt;=116,10,AN137&gt;=101,9,AN137=100,8,AN137&gt;=86,7,AN137&gt;=71,6,AN137&gt;=61,5,AN137&gt;=51,4,AN137&gt;=41,3,AN137&gt;=26,2,AN137&gt;=1,1,TRUE,0)</f>
        <v>8</v>
      </c>
      <c r="AP137" s="184">
        <f>Donations!F27</f>
        <v>0</v>
      </c>
      <c r="AQ137" s="300" cm="1">
        <f t="array" ref="AQ137">_xlfn.IFS(AP137&gt;600,11,AP137&gt;=551,10,AP137&gt;=501,9,AP137=500,8,AP137&gt;=326,7,AP137&gt;=251,6,AP137&gt;=201,5,AP137&gt;=151,4,AP137&gt;=101,3,AP137&gt;=76,2,AP137&gt;=1,1,TRUE,0)</f>
        <v>0</v>
      </c>
      <c r="AR137" s="350"/>
      <c r="AS137" s="350"/>
      <c r="AT137" s="350"/>
      <c r="AU137" s="353"/>
      <c r="AV137" s="191">
        <v>4</v>
      </c>
      <c r="AW137" s="191">
        <v>5</v>
      </c>
      <c r="AX137" s="187">
        <v>5</v>
      </c>
      <c r="AY137" s="252">
        <f t="shared" si="175"/>
        <v>14</v>
      </c>
      <c r="AZ137" s="183"/>
      <c r="BA137" s="181"/>
      <c r="BB137" s="193">
        <v>0</v>
      </c>
      <c r="BC137" s="252" cm="1">
        <f t="array" ref="BC137">_xlfn.IFS(BB137=0,11,TRUE,0)</f>
        <v>11</v>
      </c>
      <c r="BD137" s="183">
        <v>4</v>
      </c>
      <c r="BE137" s="183">
        <v>4</v>
      </c>
      <c r="BF137" s="183">
        <v>4</v>
      </c>
      <c r="BG137" s="252">
        <f t="shared" si="176"/>
        <v>12</v>
      </c>
      <c r="BH137" s="183">
        <v>3</v>
      </c>
      <c r="BI137" s="183">
        <v>3</v>
      </c>
      <c r="BJ137" s="183">
        <v>3</v>
      </c>
      <c r="BK137" s="252">
        <f t="shared" si="177"/>
        <v>9</v>
      </c>
    </row>
    <row r="138" spans="1:63" ht="15.75" x14ac:dyDescent="0.25">
      <c r="A138" s="180" t="s">
        <v>4</v>
      </c>
      <c r="B138" s="252">
        <f t="shared" si="164"/>
        <v>69</v>
      </c>
      <c r="C138" s="253">
        <f t="shared" si="178"/>
        <v>12</v>
      </c>
      <c r="D138" s="260">
        <f>'Lodge Rank by District'!E102</f>
        <v>101</v>
      </c>
      <c r="E138" s="9" t="str">
        <f>'Active &amp; Renewals'!C74</f>
        <v>804</v>
      </c>
      <c r="F138" s="9" t="str">
        <f>'Active &amp; Renewals'!D74</f>
        <v>778</v>
      </c>
      <c r="G138" s="2">
        <f t="shared" si="165"/>
        <v>-26</v>
      </c>
      <c r="H138" s="252" cm="1">
        <f t="array" ref="H138">_xlfn.IFS(G138&gt;20,11,G138&gt;11,10,G138&gt;2,9,G138&gt;0,8,G138&gt;-6,7,G138&gt;-11,6,G138&gt;-16,5,G138&gt;-21,4,G138&gt;-26,3,G138&gt;-31,2,G138&gt;-36,1,TRUE,0)</f>
        <v>2</v>
      </c>
      <c r="I138" s="113" t="str">
        <f>'Active &amp; Renewals'!E74</f>
        <v>87.63</v>
      </c>
      <c r="J138" s="252" cm="1">
        <f t="array" ref="J138">_xlfn.IFS(VALUE(I138)&gt;=90.5,11,VALUE(I138)&gt;=85.5,10,VALUE(I138)&gt;=80.5,9,VALUE(I138)&gt;=75.5,8,VALUE(I138)&gt;=74.5,7,VALUE(I138)&gt;=70.5,6,VALUE(I138)&gt;=64.5,5,VALUE(I138)&gt;=60.5,4,VALUE(I138)&gt;=54.5,3,VALUE(I138)&gt;=50.5,2,VALUE(I138)&gt;=44.5,1,TRUE,0)</f>
        <v>10</v>
      </c>
      <c r="K138" s="195">
        <v>529</v>
      </c>
      <c r="L138" s="195">
        <f>Donations!B92</f>
        <v>395</v>
      </c>
      <c r="M138" s="267">
        <f t="shared" si="166"/>
        <v>-134</v>
      </c>
      <c r="N138" s="268">
        <f t="shared" si="167"/>
        <v>0.74669187145557658</v>
      </c>
      <c r="O138" s="252" cm="1">
        <f t="array" ref="O138">_xlfn.IFS(N138&gt;=115.5%,11,N138&gt;=110.5%,10,N138&gt;=100.5%,9,N138&gt;=99.5%,8,N138&gt;=89.5%,7,N138&gt;=75.5%,6,N138&gt;=60.5%,5,N138&gt;=45.5%,4,N138&gt;=30.5%,3,N138&gt;=15.5%,2,N138&gt;=0.5%,1,TRUE,0)</f>
        <v>5</v>
      </c>
      <c r="P138" s="12">
        <f t="shared" si="168"/>
        <v>0.49129353233830847</v>
      </c>
      <c r="Q138" s="252" cm="1">
        <f t="array" ref="Q138">_xlfn.IFS(P138&gt;10,11,P138&gt;=8.01,10,P138&gt;=6.01,9,P138&gt;=4.01,8,P138=4,7,P138&gt;=3.01,6,P138&gt;=2.01,5,P138&gt;=1.51,4,P138&gt;=1.01,3,P138&gt;=0.51,2,P138&gt;=0.01,1,TRUE,0)</f>
        <v>1</v>
      </c>
      <c r="R138" s="269">
        <v>2412</v>
      </c>
      <c r="S138" s="184">
        <f>Donations!C92</f>
        <v>0</v>
      </c>
      <c r="T138" s="279">
        <f t="shared" si="169"/>
        <v>0</v>
      </c>
      <c r="U138" s="10">
        <f t="shared" si="170"/>
        <v>-2412</v>
      </c>
      <c r="V138" s="252" cm="1">
        <f t="array" ref="V138">_xlfn.IFS(T138&gt;=120%,11,T138&gt;=110.5%,10,T138&gt;=100.5%,9,T138&gt;99.9%,8,T138&gt;=85.5%,7,T138&gt;=72.5%,6,T138&gt;=65.5%,5,T138&gt;=55.5%,4,T138&gt;=45.5%,3,T138&gt;=35.5%,2,T138&gt;=20.5%,1,TRUE,0)</f>
        <v>0</v>
      </c>
      <c r="W138" s="269">
        <f t="shared" si="171"/>
        <v>120.6</v>
      </c>
      <c r="X138" s="184">
        <f>Donations!D92</f>
        <v>0</v>
      </c>
      <c r="Y138" s="269">
        <f t="shared" si="172"/>
        <v>0</v>
      </c>
      <c r="Z138" s="252" cm="1">
        <f t="array" ref="Z138">_xlfn.IFS(Y138&gt;=0.26,11,Y138&gt;=0.21,10,Y138&gt;=0.16,9,Y138=0.15,8,Y138=0.14,7,Y138=0.13,6,Y138&gt;=0.11,5,Y138&gt;=0.09,4,Y138&gt;=0.07,3,Y138&gt;=0.04,2,Y138&gt;=0.01,1,TRUE,0)</f>
        <v>0</v>
      </c>
      <c r="AA138" s="294" t="str">
        <f>'Active &amp; Renewals'!F74</f>
        <v>EXCELLENT</v>
      </c>
      <c r="AB138" s="281" cm="1">
        <f t="array" ref="AB138">_xlfn.IFS(AA138="SUPERIOR",11,AA138="EXCELLENT",9,AA138="GOOD",7,AA138="LATE",5,AA138="NO GRADE",3,AA138="NA",2,AA138="NO REPORT",0)</f>
        <v>9</v>
      </c>
      <c r="AC138" s="294" t="str">
        <f>'Active &amp; Renewals'!H74</f>
        <v>GOOD</v>
      </c>
      <c r="AD138" s="281" cm="1">
        <f t="array" ref="AD138">_xlfn.IFS(AC138="SUPERIOR",11,AC138="EXCELLENT",9,AC138="GOOD",7,AC138="LATE",5,AC138="NO GRADE",3,AC138="NA",2,AC138="NO REPORT",0)</f>
        <v>7</v>
      </c>
      <c r="AE138" s="284" t="str">
        <f>'Active &amp; Renewals'!J74</f>
        <v>NO REPORT</v>
      </c>
      <c r="AF138" s="281" cm="1">
        <f t="array" ref="AF138">_xlfn.IFS(AE138="SUPERIOR",11,AE138="EXCELLENT",9,AE138="GOOD",7,AE138="LATE",5,AE138="NO GRADE",3,AE138="NA",2,AE138="NO REPORT",0)</f>
        <v>0</v>
      </c>
      <c r="AG138" s="284" t="str">
        <f>'Active &amp; Renewals'!L74</f>
        <v>NO REPORT</v>
      </c>
      <c r="AH138" s="281" cm="1">
        <f t="array" ref="AH138">_xlfn.IFS(AG138="SUPERIOR",11,AG138="EXCELLENT",9,AG138="GOOD",7,AG138="LATE",5,AG138="NO GRADE",3,AG138="NA",2,AG138="NO REPORT",0)</f>
        <v>0</v>
      </c>
      <c r="AI138" s="252">
        <f t="shared" si="173"/>
        <v>16</v>
      </c>
      <c r="AJ138" s="188" t="s">
        <v>657</v>
      </c>
      <c r="AK138" s="252" cm="1">
        <f t="array" ref="AK138">_xlfn.IFS(AJ138="8/8",11,AJ138="7/8",7,AJ138="6/8",6,AJ138="5/8",5,AJ138="4/8",4,AJ138="3/8",3,AJ138="2/8",2,AJ138="1/8",1,AJ138="0/8",0,TRUE,0)</f>
        <v>3</v>
      </c>
      <c r="AL138" s="189">
        <v>2</v>
      </c>
      <c r="AM138" s="300" cm="1">
        <f t="array" ref="AM138">_xlfn.IFS(AL138&gt;6,11,AL138&gt;=4,10,AL138&gt;=2,9,AL138=1,8,TRUE,0)</f>
        <v>9</v>
      </c>
      <c r="AN138" s="184">
        <f>Donations!E92</f>
        <v>0</v>
      </c>
      <c r="AO138" s="300" cm="1">
        <f t="array" ref="AO138">_xlfn.IFS(AN138&gt;125,11,AN138&gt;=116,10,AN138&gt;=101,9,AN138=100,8,AN138&gt;=86,7,AN138&gt;=71,6,AN138&gt;=61,5,AN138&gt;=51,4,AN138&gt;=41,3,AN138&gt;=26,2,AN138&gt;=1,1,TRUE,0)</f>
        <v>0</v>
      </c>
      <c r="AP138" s="184">
        <f>Donations!F92</f>
        <v>0</v>
      </c>
      <c r="AQ138" s="300" cm="1">
        <f t="array" ref="AQ138">_xlfn.IFS(AP138&gt;600,11,AP138&gt;=551,10,AP138&gt;=501,9,AP138=500,8,AP138&gt;=326,7,AP138&gt;=251,6,AP138&gt;=201,5,AP138&gt;=151,4,AP138&gt;=101,3,AP138&gt;=76,2,AP138&gt;=1,1,TRUE,0)</f>
        <v>0</v>
      </c>
      <c r="AR138" s="350"/>
      <c r="AS138" s="350"/>
      <c r="AT138" s="350"/>
      <c r="AU138" s="353"/>
      <c r="AV138" s="191">
        <v>3</v>
      </c>
      <c r="AW138" s="191">
        <v>4</v>
      </c>
      <c r="AX138" s="187">
        <v>3</v>
      </c>
      <c r="AY138" s="252">
        <f t="shared" si="175"/>
        <v>10</v>
      </c>
      <c r="AZ138" s="192"/>
      <c r="BA138" s="181"/>
      <c r="BB138" s="193">
        <v>0</v>
      </c>
      <c r="BC138" s="252" cm="1">
        <f t="array" ref="BC138">_xlfn.IFS(BB138=0,11,TRUE,0)</f>
        <v>11</v>
      </c>
      <c r="BD138" s="183">
        <v>0</v>
      </c>
      <c r="BE138" s="183">
        <v>0</v>
      </c>
      <c r="BF138" s="183">
        <v>0</v>
      </c>
      <c r="BG138" s="252">
        <f t="shared" si="176"/>
        <v>0</v>
      </c>
      <c r="BH138" s="183">
        <v>2</v>
      </c>
      <c r="BI138" s="183">
        <v>0</v>
      </c>
      <c r="BJ138" s="183">
        <v>0</v>
      </c>
      <c r="BK138" s="252">
        <f t="shared" si="177"/>
        <v>2</v>
      </c>
    </row>
    <row r="139" spans="1:63" ht="15.75" x14ac:dyDescent="0.25">
      <c r="A139" s="180" t="s">
        <v>3</v>
      </c>
      <c r="B139" s="252">
        <f t="shared" si="164"/>
        <v>126</v>
      </c>
      <c r="C139" s="253">
        <f t="shared" si="178"/>
        <v>8</v>
      </c>
      <c r="D139" s="260">
        <f>'Lodge Rank by District'!E103</f>
        <v>51</v>
      </c>
      <c r="E139" s="9" t="str">
        <f>'Active &amp; Renewals'!C104</f>
        <v>505</v>
      </c>
      <c r="F139" s="9" t="str">
        <f>'Active &amp; Renewals'!D104</f>
        <v>576</v>
      </c>
      <c r="G139" s="2">
        <f t="shared" si="165"/>
        <v>71</v>
      </c>
      <c r="H139" s="252" cm="1">
        <f t="array" ref="H139">_xlfn.IFS(G139&gt;20,11,G139&gt;11,10,G139&gt;2,9,G139&gt;0,8,G139&gt;-6,7,G139&gt;-11,6,G139&gt;-16,5,G139&gt;-21,4,G139&gt;-26,3,G139&gt;-31,2,G139&gt;-36,1,TRUE,0)</f>
        <v>11</v>
      </c>
      <c r="I139" s="113" t="str">
        <f>'Active &amp; Renewals'!E104</f>
        <v>89.44</v>
      </c>
      <c r="J139" s="252" cm="1">
        <f t="array" ref="J139">_xlfn.IFS(VALUE(I139)&gt;=90.5,11,VALUE(I139)&gt;=85.5,10,VALUE(I139)&gt;=80.5,9,VALUE(I139)&gt;=75.5,8,VALUE(I139)&gt;=74.5,7,VALUE(I139)&gt;=70.5,6,VALUE(I139)&gt;=64.5,5,VALUE(I139)&gt;=60.5,4,VALUE(I139)&gt;=54.5,3,VALUE(I139)&gt;=50.5,2,VALUE(I139)&gt;=44.5,1,TRUE,0)</f>
        <v>10</v>
      </c>
      <c r="K139" s="195">
        <v>1221</v>
      </c>
      <c r="L139" s="195">
        <f>Donations!B56</f>
        <v>1215</v>
      </c>
      <c r="M139" s="267">
        <f t="shared" si="166"/>
        <v>-6</v>
      </c>
      <c r="N139" s="268">
        <f t="shared" si="167"/>
        <v>0.99508599508599505</v>
      </c>
      <c r="O139" s="252" cm="1">
        <f t="array" ref="O139">_xlfn.IFS(N139&gt;=115.5%,11,N139&gt;=110.5%,10,N139&gt;=100.5%,9,N139&gt;=99.5%,8,N139&gt;=89.5%,7,N139&gt;=75.5%,6,N139&gt;=60.5%,5,N139&gt;=45.5%,4,N139&gt;=30.5%,3,N139&gt;=15.5%,2,N139&gt;=0.5%,1,TRUE,0)</f>
        <v>8</v>
      </c>
      <c r="P139" s="12">
        <f t="shared" si="168"/>
        <v>2.4059405940594059</v>
      </c>
      <c r="Q139" s="252" cm="1">
        <f t="array" ref="Q139">_xlfn.IFS(P139&gt;10,11,P139&gt;=8.01,10,P139&gt;=6.01,9,P139&gt;=4.01,8,P139=4,7,P139&gt;=3.01,6,P139&gt;=2.01,5,P139&gt;=1.51,4,P139&gt;=1.01,3,P139&gt;=0.51,2,P139&gt;=0.01,1,TRUE,0)</f>
        <v>5</v>
      </c>
      <c r="R139" s="269">
        <v>1515</v>
      </c>
      <c r="S139" s="184">
        <f>Donations!C56</f>
        <v>1515</v>
      </c>
      <c r="T139" s="279">
        <f t="shared" si="169"/>
        <v>3</v>
      </c>
      <c r="U139" s="10">
        <f t="shared" si="170"/>
        <v>0</v>
      </c>
      <c r="V139" s="252" cm="1">
        <f t="array" ref="V139">_xlfn.IFS(T139&gt;=120%,11,T139&gt;=110.5%,10,T139&gt;=100.5%,9,T139&gt;99.9%,8,T139&gt;=85.5%,7,T139&gt;=72.5%,6,T139&gt;=65.5%,5,T139&gt;=55.5%,4,T139&gt;=45.5%,3,T139&gt;=35.5%,2,T139&gt;=20.5%,1,TRUE,0)</f>
        <v>11</v>
      </c>
      <c r="W139" s="269">
        <f t="shared" si="171"/>
        <v>75.75</v>
      </c>
      <c r="X139" s="184">
        <f>Donations!D56</f>
        <v>100</v>
      </c>
      <c r="Y139" s="269">
        <f t="shared" si="172"/>
        <v>0.19801980198019803</v>
      </c>
      <c r="Z139" s="252" cm="1">
        <f t="array" ref="Z139">_xlfn.IFS(Y139&gt;=0.26,11,Y139&gt;=0.21,10,Y139&gt;=0.16,9,Y139=0.15,8,Y139=0.14,7,Y139=0.13,6,Y139&gt;=0.11,5,Y139&gt;=0.09,4,Y139&gt;=0.07,3,Y139&gt;=0.04,2,Y139&gt;=0.01,1,TRUE,0)</f>
        <v>9</v>
      </c>
      <c r="AA139" s="294" t="str">
        <f>'Active &amp; Renewals'!F104</f>
        <v>SUPERIOR</v>
      </c>
      <c r="AB139" s="281" cm="1">
        <f t="array" ref="AB139">_xlfn.IFS(AA139="SUPERIOR",11,AA139="EXCELLENT",9,AA139="GOOD",7,AA139="LATE",5,AA139="NO GRADE",3,AA139="NA",2,AA139="NO REPORT",0)</f>
        <v>11</v>
      </c>
      <c r="AC139" s="294" t="str">
        <f>'Active &amp; Renewals'!H104</f>
        <v>EXCELLENT</v>
      </c>
      <c r="AD139" s="281" cm="1">
        <f t="array" ref="AD139">_xlfn.IFS(AC139="SUPERIOR",11,AC139="EXCELLENT",9,AC139="GOOD",7,AC139="LATE",5,AC139="NO GRADE",3,AC139="NA",2,AC139="NO REPORT",0)</f>
        <v>9</v>
      </c>
      <c r="AE139" s="284" t="str">
        <f>'Active &amp; Renewals'!J104</f>
        <v>NO REPORT</v>
      </c>
      <c r="AF139" s="281" cm="1">
        <f t="array" ref="AF139">_xlfn.IFS(AE139="SUPERIOR",11,AE139="EXCELLENT",9,AE139="GOOD",7,AE139="LATE",5,AE139="NO GRADE",3,AE139="NA",2,AE139="NO REPORT",0)</f>
        <v>0</v>
      </c>
      <c r="AG139" s="284" t="str">
        <f>'Active &amp; Renewals'!L104</f>
        <v>NO REPORT</v>
      </c>
      <c r="AH139" s="281" cm="1">
        <f t="array" ref="AH139">_xlfn.IFS(AG139="SUPERIOR",11,AG139="EXCELLENT",9,AG139="GOOD",7,AG139="LATE",5,AG139="NO GRADE",3,AG139="NA",2,AG139="NO REPORT",0)</f>
        <v>0</v>
      </c>
      <c r="AI139" s="252">
        <f t="shared" si="173"/>
        <v>20</v>
      </c>
      <c r="AJ139" s="188" t="s">
        <v>656</v>
      </c>
      <c r="AK139" s="252" cm="1">
        <f t="array" ref="AK139">_xlfn.IFS(AJ139="8/8",11,AJ139="7/8",7,AJ139="6/8",6,AJ139="5/8",5,AJ139="4/8",4,AJ139="3/8",3,AJ139="2/8",2,AJ139="1/8",1,AJ139="0/8",0,TRUE,0)</f>
        <v>7</v>
      </c>
      <c r="AL139" s="189">
        <v>2</v>
      </c>
      <c r="AM139" s="300" cm="1">
        <f t="array" ref="AM139">_xlfn.IFS(AL139&gt;6,11,AL139&gt;=4,10,AL139&gt;=2,9,AL139=1,8,TRUE,0)</f>
        <v>9</v>
      </c>
      <c r="AN139" s="184">
        <f>Donations!E56</f>
        <v>100</v>
      </c>
      <c r="AO139" s="300" cm="1">
        <f t="array" ref="AO139">_xlfn.IFS(AN139&gt;125,11,AN139&gt;=116,10,AN139&gt;=101,9,AN139=100,8,AN139&gt;=86,7,AN139&gt;=71,6,AN139&gt;=61,5,AN139&gt;=51,4,AN139&gt;=41,3,AN139&gt;=26,2,AN139&gt;=1,1,TRUE,0)</f>
        <v>8</v>
      </c>
      <c r="AP139" s="184">
        <f>Donations!F56</f>
        <v>0</v>
      </c>
      <c r="AQ139" s="300" cm="1">
        <f t="array" ref="AQ139">_xlfn.IFS(AP139&gt;600,11,AP139&gt;=551,10,AP139&gt;=501,9,AP139=500,8,AP139&gt;=326,7,AP139&gt;=251,6,AP139&gt;=201,5,AP139&gt;=151,4,AP139&gt;=101,3,AP139&gt;=76,2,AP139&gt;=1,1,TRUE,0)</f>
        <v>0</v>
      </c>
      <c r="AR139" s="350"/>
      <c r="AS139" s="350"/>
      <c r="AT139" s="350"/>
      <c r="AU139" s="353"/>
      <c r="AV139" s="191">
        <v>4</v>
      </c>
      <c r="AW139" s="191">
        <v>2</v>
      </c>
      <c r="AX139" s="187">
        <v>5</v>
      </c>
      <c r="AY139" s="252">
        <f t="shared" si="175"/>
        <v>11</v>
      </c>
      <c r="AZ139" s="192"/>
      <c r="BA139" s="181"/>
      <c r="BB139" s="193">
        <v>0</v>
      </c>
      <c r="BC139" s="252" cm="1">
        <f t="array" ref="BC139">_xlfn.IFS(BB139=0,11,TRUE,0)</f>
        <v>11</v>
      </c>
      <c r="BD139" s="183">
        <v>0</v>
      </c>
      <c r="BE139" s="183">
        <v>4</v>
      </c>
      <c r="BF139" s="183">
        <v>0</v>
      </c>
      <c r="BG139" s="252">
        <f t="shared" si="176"/>
        <v>4</v>
      </c>
      <c r="BH139" s="183">
        <v>0</v>
      </c>
      <c r="BI139" s="183">
        <v>0</v>
      </c>
      <c r="BJ139" s="183">
        <v>2</v>
      </c>
      <c r="BK139" s="252">
        <f t="shared" si="177"/>
        <v>2</v>
      </c>
    </row>
    <row r="140" spans="1:63" ht="15.75" x14ac:dyDescent="0.25">
      <c r="A140" s="244" t="s">
        <v>2</v>
      </c>
      <c r="B140" s="252">
        <f t="shared" si="164"/>
        <v>126</v>
      </c>
      <c r="C140" s="253">
        <f t="shared" si="178"/>
        <v>8</v>
      </c>
      <c r="D140" s="260">
        <f>'Lodge Rank by District'!E104</f>
        <v>51</v>
      </c>
      <c r="E140" s="9" t="str">
        <f>'Active &amp; Renewals'!C105</f>
        <v>497</v>
      </c>
      <c r="F140" s="9" t="str">
        <f>'Active &amp; Renewals'!D105</f>
        <v>521</v>
      </c>
      <c r="G140" s="2">
        <f t="shared" si="165"/>
        <v>24</v>
      </c>
      <c r="H140" s="252" cm="1">
        <f t="array" ref="H140">_xlfn.IFS(G140&gt;20,11,G140&gt;11,10,G140&gt;2,9,G140&gt;0,8,G140&gt;-6,7,G140&gt;-11,6,G140&gt;-16,5,G140&gt;-21,4,G140&gt;-26,3,G140&gt;-31,2,G140&gt;-36,1,TRUE,0)</f>
        <v>11</v>
      </c>
      <c r="I140" s="113" t="str">
        <f>'Active &amp; Renewals'!E105</f>
        <v>85.92</v>
      </c>
      <c r="J140" s="252" cm="1">
        <f t="array" ref="J140">_xlfn.IFS(VALUE(I140)&gt;=90.5,11,VALUE(I140)&gt;=85.5,10,VALUE(I140)&gt;=80.5,9,VALUE(I140)&gt;=75.5,8,VALUE(I140)&gt;=74.5,7,VALUE(I140)&gt;=70.5,6,VALUE(I140)&gt;=64.5,5,VALUE(I140)&gt;=60.5,4,VALUE(I140)&gt;=54.5,3,VALUE(I140)&gt;=50.5,2,VALUE(I140)&gt;=44.5,1,TRUE,0)</f>
        <v>10</v>
      </c>
      <c r="K140" s="195">
        <v>4639</v>
      </c>
      <c r="L140" s="195">
        <f>Donations!B70</f>
        <v>4847</v>
      </c>
      <c r="M140" s="267">
        <f t="shared" si="166"/>
        <v>208</v>
      </c>
      <c r="N140" s="268">
        <f t="shared" si="167"/>
        <v>1.0448372494071998</v>
      </c>
      <c r="O140" s="252" cm="1">
        <f t="array" ref="O140">_xlfn.IFS(N140&gt;=115.5%,11,N140&gt;=110.5%,10,N140&gt;=100.5%,9,N140&gt;=99.5%,8,N140&gt;=89.5%,7,N140&gt;=75.5%,6,N140&gt;=60.5%,5,N140&gt;=45.5%,4,N140&gt;=30.5%,3,N140&gt;=15.5%,2,N140&gt;=0.5%,1,TRUE,0)</f>
        <v>9</v>
      </c>
      <c r="P140" s="12">
        <f t="shared" si="168"/>
        <v>9.7525150905432589</v>
      </c>
      <c r="Q140" s="252" cm="1">
        <f t="array" ref="Q140">_xlfn.IFS(P140&gt;10,11,P140&gt;=8.01,10,P140&gt;=6.01,9,P140&gt;=4.01,8,P140=4,7,P140&gt;=3.01,6,P140&gt;=2.01,5,P140&gt;=1.51,4,P140&gt;=1.01,3,P140&gt;=0.51,2,P140&gt;=0.01,1,TRUE,0)</f>
        <v>10</v>
      </c>
      <c r="R140" s="269">
        <v>1491</v>
      </c>
      <c r="S140" s="184">
        <f>Donations!C70</f>
        <v>1491</v>
      </c>
      <c r="T140" s="279">
        <f t="shared" si="169"/>
        <v>3</v>
      </c>
      <c r="U140" s="10">
        <f>+S140-R140</f>
        <v>0</v>
      </c>
      <c r="V140" s="252" cm="1">
        <f t="array" ref="V140">_xlfn.IFS(T140&gt;=120%,11,T140&gt;=110.5%,10,T140&gt;=100.5%,9,T140&gt;99.9%,8,T140&gt;=85.5%,7,T140&gt;=72.5%,6,T140&gt;=65.5%,5,T140&gt;=55.5%,4,T140&gt;=45.5%,3,T140&gt;=35.5%,2,T140&gt;=20.5%,1,TRUE,0)</f>
        <v>11</v>
      </c>
      <c r="W140" s="269">
        <f t="shared" si="171"/>
        <v>74.55</v>
      </c>
      <c r="X140" s="184">
        <f>Donations!D70</f>
        <v>1000</v>
      </c>
      <c r="Y140" s="269">
        <f t="shared" si="172"/>
        <v>2.0120724346076457</v>
      </c>
      <c r="Z140" s="252" cm="1">
        <f t="array" ref="Z140">_xlfn.IFS(Y140&gt;=0.26,11,Y140&gt;=0.21,10,Y140&gt;=0.16,9,Y140=0.15,8,Y140=0.14,7,Y140=0.13,6,Y140&gt;=0.11,5,Y140&gt;=0.09,4,Y140&gt;=0.07,3,Y140&gt;=0.04,2,Y140&gt;=0.01,1,TRUE,0)</f>
        <v>11</v>
      </c>
      <c r="AA140" s="294" t="str">
        <f>'Active &amp; Renewals'!F105</f>
        <v>SUPERIOR</v>
      </c>
      <c r="AB140" s="281" cm="1">
        <f t="array" ref="AB140">_xlfn.IFS(AA140="SUPERIOR",11,AA140="EXCELLENT",9,AA140="GOOD",7,AA140="LATE",5,AA140="NO GRADE",3,AA140="NA",2,AA140="NO REPORT",0)</f>
        <v>11</v>
      </c>
      <c r="AC140" s="294" t="str">
        <f>'Active &amp; Renewals'!H105</f>
        <v>EXCELLENT</v>
      </c>
      <c r="AD140" s="281" cm="1">
        <f t="array" ref="AD140">_xlfn.IFS(AC140="SUPERIOR",11,AC140="EXCELLENT",9,AC140="GOOD",7,AC140="LATE",5,AC140="NO GRADE",3,AC140="NA",2,AC140="NO REPORT",0)</f>
        <v>9</v>
      </c>
      <c r="AE140" s="284" t="str">
        <f>'Active &amp; Renewals'!J105</f>
        <v>NO REPORT</v>
      </c>
      <c r="AF140" s="281" cm="1">
        <f t="array" ref="AF140">_xlfn.IFS(AE140="SUPERIOR",11,AE140="EXCELLENT",9,AE140="GOOD",7,AE140="LATE",5,AE140="NO GRADE",3,AE140="NA",2,AE140="NO REPORT",0)</f>
        <v>0</v>
      </c>
      <c r="AG140" s="284" t="str">
        <f>'Active &amp; Renewals'!L105</f>
        <v>NO REPORT</v>
      </c>
      <c r="AH140" s="281" cm="1">
        <f t="array" ref="AH140">_xlfn.IFS(AG140="SUPERIOR",11,AG140="EXCELLENT",9,AG140="GOOD",7,AG140="LATE",5,AG140="NO GRADE",3,AG140="NA",2,AG140="NO REPORT",0)</f>
        <v>0</v>
      </c>
      <c r="AI140" s="252">
        <f t="shared" si="173"/>
        <v>20</v>
      </c>
      <c r="AJ140" s="188" t="s">
        <v>653</v>
      </c>
      <c r="AK140" s="299" cm="1">
        <f t="array" ref="AK140">_xlfn.IFS(AJ140="8/8",11,AJ140="7/8",7,AJ140="6/8",6,AJ140="5/8",5,AJ140="4/8",4,AJ140="3/8",3,AJ140="2/8",2,AJ140="1/8",1,AJ140="0/8",0,TRUE,0)</f>
        <v>6</v>
      </c>
      <c r="AL140" s="189">
        <v>1</v>
      </c>
      <c r="AM140" s="300" cm="1">
        <f t="array" ref="AM140">_xlfn.IFS(AL140&gt;6,11,AL140&gt;=4,10,AL140&gt;=2,9,AL140=1,8,TRUE,0)</f>
        <v>8</v>
      </c>
      <c r="AN140" s="184">
        <f>Donations!E70</f>
        <v>100</v>
      </c>
      <c r="AO140" s="300" cm="1">
        <f t="array" ref="AO140">_xlfn.IFS(AN140&gt;125,11,AN140&gt;=116,10,AN140&gt;=101,9,AN140=100,8,AN140&gt;=86,7,AN140&gt;=71,6,AN140&gt;=61,5,AN140&gt;=51,4,AN140&gt;=41,3,AN140&gt;=26,2,AN140&gt;=1,1,TRUE,0)</f>
        <v>8</v>
      </c>
      <c r="AP140" s="184">
        <f>Donations!F70</f>
        <v>0</v>
      </c>
      <c r="AQ140" s="300" cm="1">
        <f t="array" ref="AQ140">_xlfn.IFS(AP140&gt;600,11,AP140&gt;=551,10,AP140&gt;=501,9,AP140=500,8,AP140&gt;=326,7,AP140&gt;=251,6,AP140&gt;=201,5,AP140&gt;=151,4,AP140&gt;=101,3,AP140&gt;=76,2,AP140&gt;=1,1,TRUE,0)</f>
        <v>0</v>
      </c>
      <c r="AR140" s="351"/>
      <c r="AS140" s="351"/>
      <c r="AT140" s="351"/>
      <c r="AU140" s="354"/>
      <c r="AV140" s="191">
        <v>0</v>
      </c>
      <c r="AW140" s="191">
        <v>4</v>
      </c>
      <c r="AX140" s="187">
        <v>0</v>
      </c>
      <c r="AY140" s="252">
        <f t="shared" si="175"/>
        <v>4</v>
      </c>
      <c r="AZ140" s="192"/>
      <c r="BA140" s="181"/>
      <c r="BB140" s="193">
        <v>0</v>
      </c>
      <c r="BC140" s="252" cm="1">
        <f t="array" ref="BC140">_xlfn.IFS(BB140=0,11,TRUE,0)</f>
        <v>11</v>
      </c>
      <c r="BD140" s="183">
        <v>0</v>
      </c>
      <c r="BE140" s="183">
        <v>4</v>
      </c>
      <c r="BF140" s="183">
        <v>0</v>
      </c>
      <c r="BG140" s="252">
        <f t="shared" si="176"/>
        <v>4</v>
      </c>
      <c r="BH140" s="183">
        <v>0</v>
      </c>
      <c r="BI140" s="183">
        <v>3</v>
      </c>
      <c r="BJ140" s="183">
        <v>0</v>
      </c>
      <c r="BK140" s="252">
        <f t="shared" si="177"/>
        <v>3</v>
      </c>
    </row>
    <row r="141" spans="1:63" ht="18.75" x14ac:dyDescent="0.25">
      <c r="A141" s="196" t="s">
        <v>1</v>
      </c>
      <c r="B141" s="254">
        <f>SUM(B129:B140)/12</f>
        <v>130.75</v>
      </c>
      <c r="C141" s="2"/>
      <c r="D141" s="256">
        <f>'District '!M22</f>
        <v>4</v>
      </c>
      <c r="E141" s="5"/>
      <c r="F141" s="266"/>
      <c r="G141" s="1"/>
      <c r="H141" s="1"/>
      <c r="I141" s="310"/>
      <c r="J141" s="1"/>
      <c r="K141" s="199"/>
      <c r="L141" s="226">
        <f>SUM(L129:L140)</f>
        <v>62003.02</v>
      </c>
      <c r="M141" s="4"/>
      <c r="N141" s="97"/>
      <c r="O141" s="1"/>
      <c r="P141" s="3"/>
      <c r="Q141" s="1"/>
      <c r="R141" s="1"/>
      <c r="S141" s="202"/>
      <c r="T141" s="200"/>
      <c r="U141" s="197"/>
      <c r="V141" s="197"/>
      <c r="W141" s="197"/>
      <c r="X141" s="203"/>
      <c r="Y141" s="197"/>
      <c r="Z141" s="197"/>
      <c r="AA141" s="245"/>
      <c r="AB141" s="245"/>
      <c r="AC141" s="245"/>
      <c r="AD141" s="245"/>
      <c r="AE141" s="246"/>
      <c r="AF141" s="247"/>
      <c r="AG141" s="192"/>
      <c r="AH141" s="183"/>
      <c r="AI141" s="197"/>
      <c r="AJ141" s="204"/>
      <c r="AK141" s="197"/>
      <c r="AL141" s="248"/>
      <c r="AM141" s="197"/>
      <c r="AN141" s="197"/>
      <c r="AO141" s="197"/>
      <c r="AP141" s="201"/>
      <c r="AQ141" s="197"/>
      <c r="AR141" s="197"/>
      <c r="AS141" s="197"/>
      <c r="AT141" s="197"/>
      <c r="AU141" s="211"/>
      <c r="AV141" s="205"/>
      <c r="AW141" s="205"/>
      <c r="AX141" s="249"/>
      <c r="AY141" s="197"/>
      <c r="AZ141" s="204"/>
      <c r="BA141" s="197"/>
      <c r="BB141" s="210"/>
      <c r="BC141" s="197"/>
      <c r="BD141" s="197"/>
      <c r="BE141" s="197"/>
      <c r="BF141" s="197"/>
      <c r="BG141" s="197"/>
      <c r="BH141" s="197"/>
      <c r="BI141" s="197"/>
      <c r="BJ141" s="183"/>
      <c r="BK141" s="197"/>
    </row>
  </sheetData>
  <sheetProtection selectLockedCells="1"/>
  <mergeCells count="76">
    <mergeCell ref="BK1:BK2"/>
    <mergeCell ref="AK1:AK2"/>
    <mergeCell ref="AM1:AM2"/>
    <mergeCell ref="BC1:BC2"/>
    <mergeCell ref="BD1:BF1"/>
    <mergeCell ref="BG1:BG2"/>
    <mergeCell ref="BH1:BJ1"/>
    <mergeCell ref="AR1:AT1"/>
    <mergeCell ref="AU1:AU2"/>
    <mergeCell ref="AV1:AX1"/>
    <mergeCell ref="AY1:AY2"/>
    <mergeCell ref="BA1:BA2"/>
    <mergeCell ref="AO1:AO2"/>
    <mergeCell ref="AQ1:AQ2"/>
    <mergeCell ref="AI1:AI2"/>
    <mergeCell ref="Z1:Z2"/>
    <mergeCell ref="K1:N1"/>
    <mergeCell ref="A1:A2"/>
    <mergeCell ref="E1:G1"/>
    <mergeCell ref="H1:H2"/>
    <mergeCell ref="J1:J2"/>
    <mergeCell ref="O1:O2"/>
    <mergeCell ref="Q1:Q2"/>
    <mergeCell ref="R1:U1"/>
    <mergeCell ref="V1:V2"/>
    <mergeCell ref="W1:Y1"/>
    <mergeCell ref="AA1:AH1"/>
    <mergeCell ref="C1:C2"/>
    <mergeCell ref="AU4:AU11"/>
    <mergeCell ref="AU15:AU23"/>
    <mergeCell ref="AR27:AR36"/>
    <mergeCell ref="AS27:AS36"/>
    <mergeCell ref="AT27:AT36"/>
    <mergeCell ref="AU27:AU36"/>
    <mergeCell ref="AR4:AR11"/>
    <mergeCell ref="AS4:AS11"/>
    <mergeCell ref="AT4:AT11"/>
    <mergeCell ref="AR15:AR23"/>
    <mergeCell ref="AS15:AS23"/>
    <mergeCell ref="AT15:AT23"/>
    <mergeCell ref="AR40:AR46"/>
    <mergeCell ref="AS40:AS46"/>
    <mergeCell ref="AT40:AT46"/>
    <mergeCell ref="AU40:AU46"/>
    <mergeCell ref="AR50:AR58"/>
    <mergeCell ref="AS50:AS58"/>
    <mergeCell ref="AT50:AT58"/>
    <mergeCell ref="AU50:AU58"/>
    <mergeCell ref="AR62:AR68"/>
    <mergeCell ref="AS62:AS68"/>
    <mergeCell ref="AT62:AT68"/>
    <mergeCell ref="AU62:AU68"/>
    <mergeCell ref="AR72:AR83"/>
    <mergeCell ref="AS72:AS83"/>
    <mergeCell ref="AT72:AT83"/>
    <mergeCell ref="AU72:AU83"/>
    <mergeCell ref="AR87:AR95"/>
    <mergeCell ref="AS87:AS95"/>
    <mergeCell ref="AT87:AT95"/>
    <mergeCell ref="AU87:AU95"/>
    <mergeCell ref="AR99:AR105"/>
    <mergeCell ref="AS99:AS105"/>
    <mergeCell ref="AT99:AT105"/>
    <mergeCell ref="AU99:AU105"/>
    <mergeCell ref="AR129:AR140"/>
    <mergeCell ref="AS129:AS140"/>
    <mergeCell ref="AT129:AT140"/>
    <mergeCell ref="AU129:AU140"/>
    <mergeCell ref="AR109:AR115"/>
    <mergeCell ref="AS109:AS115"/>
    <mergeCell ref="AT109:AT115"/>
    <mergeCell ref="AU109:AU115"/>
    <mergeCell ref="AR119:AR125"/>
    <mergeCell ref="AS119:AS125"/>
    <mergeCell ref="AT119:AT125"/>
    <mergeCell ref="AU119:AU125"/>
  </mergeCells>
  <phoneticPr fontId="36" type="noConversion"/>
  <conditionalFormatting sqref="E4:E11 E27:E36">
    <cfRule type="cellIs" dxfId="75" priority="64" operator="equal">
      <formula>"Previous Fiscal Year Active"</formula>
    </cfRule>
  </conditionalFormatting>
  <conditionalFormatting sqref="E15:E23">
    <cfRule type="cellIs" dxfId="74" priority="159" operator="equal">
      <formula>"Previous Fiscal Year Active"</formula>
    </cfRule>
  </conditionalFormatting>
  <conditionalFormatting sqref="E72:E83 F72:F84 E99:E105 F99:F107">
    <cfRule type="cellIs" dxfId="73" priority="57" operator="equal">
      <formula>"Current Fiscal Year Active"</formula>
    </cfRule>
  </conditionalFormatting>
  <conditionalFormatting sqref="E87">
    <cfRule type="cellIs" dxfId="72" priority="145" operator="equal">
      <formula>"Previous Fiscal Year Active"</formula>
    </cfRule>
  </conditionalFormatting>
  <conditionalFormatting sqref="E40:F46">
    <cfRule type="cellIs" dxfId="71" priority="60" operator="equal">
      <formula>"Current Fiscal Year Active"</formula>
    </cfRule>
  </conditionalFormatting>
  <conditionalFormatting sqref="E50:F58">
    <cfRule type="cellIs" dxfId="70" priority="59" operator="equal">
      <formula>"Current Fiscal Year Active"</formula>
    </cfRule>
  </conditionalFormatting>
  <conditionalFormatting sqref="E62:F68">
    <cfRule type="cellIs" dxfId="69" priority="58" operator="equal">
      <formula>"Current Fiscal Year Active"</formula>
    </cfRule>
  </conditionalFormatting>
  <conditionalFormatting sqref="E109:F115">
    <cfRule type="cellIs" dxfId="68" priority="43" operator="equal">
      <formula>"Current Fiscal Year Active"</formula>
    </cfRule>
  </conditionalFormatting>
  <conditionalFormatting sqref="E119:F125">
    <cfRule type="cellIs" dxfId="67" priority="42" operator="equal">
      <formula>"Current Fiscal Year Active"</formula>
    </cfRule>
  </conditionalFormatting>
  <conditionalFormatting sqref="E129:F140">
    <cfRule type="cellIs" dxfId="66" priority="33" operator="equal">
      <formula>"Current Fiscal Year Active"</formula>
    </cfRule>
  </conditionalFormatting>
  <conditionalFormatting sqref="F4:F11 F27:F36">
    <cfRule type="cellIs" dxfId="65" priority="63" operator="equal">
      <formula>"Current Fiscal Year Active"</formula>
    </cfRule>
  </conditionalFormatting>
  <conditionalFormatting sqref="F15:F23">
    <cfRule type="cellIs" dxfId="64" priority="62" operator="equal">
      <formula>"Current Fiscal Year Active"</formula>
    </cfRule>
  </conditionalFormatting>
  <conditionalFormatting sqref="F87:F95 E88:E95">
    <cfRule type="cellIs" dxfId="63" priority="55" operator="equal">
      <formula>"Current Fiscal Year Active"</formula>
    </cfRule>
  </conditionalFormatting>
  <conditionalFormatting sqref="I4:I11">
    <cfRule type="cellIs" dxfId="62" priority="12" operator="equal">
      <formula>"Current Fiscal Year Active"</formula>
    </cfRule>
  </conditionalFormatting>
  <conditionalFormatting sqref="I15:I23">
    <cfRule type="cellIs" dxfId="61" priority="11" operator="equal">
      <formula>"Current Fiscal Year Active"</formula>
    </cfRule>
  </conditionalFormatting>
  <conditionalFormatting sqref="I27:I36">
    <cfRule type="cellIs" dxfId="60" priority="10" operator="equal">
      <formula>"Current Fiscal Year Active"</formula>
    </cfRule>
  </conditionalFormatting>
  <conditionalFormatting sqref="I40:I46">
    <cfRule type="cellIs" dxfId="59" priority="9" operator="equal">
      <formula>"Current Fiscal Year Active"</formula>
    </cfRule>
  </conditionalFormatting>
  <conditionalFormatting sqref="I50:I58">
    <cfRule type="cellIs" dxfId="58" priority="8" operator="equal">
      <formula>"Current Fiscal Year Active"</formula>
    </cfRule>
  </conditionalFormatting>
  <conditionalFormatting sqref="I62:I68">
    <cfRule type="cellIs" dxfId="57" priority="7" operator="equal">
      <formula>"Current Fiscal Year Active"</formula>
    </cfRule>
  </conditionalFormatting>
  <conditionalFormatting sqref="I72:I83">
    <cfRule type="cellIs" dxfId="56" priority="6" operator="equal">
      <formula>"Current Fiscal Year Active"</formula>
    </cfRule>
  </conditionalFormatting>
  <conditionalFormatting sqref="I87:I95">
    <cfRule type="cellIs" dxfId="55" priority="5" operator="equal">
      <formula>"Current Fiscal Year Active"</formula>
    </cfRule>
  </conditionalFormatting>
  <conditionalFormatting sqref="I99:I105">
    <cfRule type="cellIs" dxfId="54" priority="4" operator="equal">
      <formula>"Current Fiscal Year Active"</formula>
    </cfRule>
  </conditionalFormatting>
  <conditionalFormatting sqref="I109:I115">
    <cfRule type="cellIs" dxfId="53" priority="3" operator="equal">
      <formula>"Current Fiscal Year Active"</formula>
    </cfRule>
  </conditionalFormatting>
  <conditionalFormatting sqref="I119:I125">
    <cfRule type="cellIs" dxfId="52" priority="2" operator="equal">
      <formula>"Current Fiscal Year Active"</formula>
    </cfRule>
  </conditionalFormatting>
  <conditionalFormatting sqref="I129:I140">
    <cfRule type="cellIs" dxfId="51" priority="1" operator="equal">
      <formula>"Current Fiscal Year Active"</formula>
    </cfRule>
  </conditionalFormatting>
  <conditionalFormatting sqref="AE126:AF128">
    <cfRule type="cellIs" dxfId="50" priority="241" operator="equal">
      <formula>"Difference"</formula>
    </cfRule>
  </conditionalFormatting>
  <conditionalFormatting sqref="AN4:AN7 AN9:AN11">
    <cfRule type="cellIs" dxfId="49" priority="19" operator="equal">
      <formula>"Previous Fiscal Year Active"</formula>
    </cfRule>
  </conditionalFormatting>
  <conditionalFormatting sqref="AN15:AN21">
    <cfRule type="cellIs" dxfId="48" priority="18" operator="equal">
      <formula>"Previous Fiscal Year Active"</formula>
    </cfRule>
  </conditionalFormatting>
  <conditionalFormatting sqref="AN27:AN36">
    <cfRule type="cellIs" dxfId="47" priority="17" operator="equal">
      <formula>"Previous Fiscal Year Active"</formula>
    </cfRule>
  </conditionalFormatting>
  <conditionalFormatting sqref="AN40:AN46">
    <cfRule type="cellIs" dxfId="46" priority="16" operator="equal">
      <formula>"Previous Fiscal Year Active"</formula>
    </cfRule>
  </conditionalFormatting>
  <printOptions horizontalCentered="1" verticalCentered="1"/>
  <pageMargins left="0.2" right="0.2" top="0.2" bottom="0.2" header="0" footer="0"/>
  <pageSetup orientation="landscape" r:id="rId1"/>
  <rowBreaks count="2" manualBreakCount="2">
    <brk id="84" max="16383" man="1"/>
    <brk id="116" max="16383" man="1"/>
  </rowBreaks>
  <ignoredErrors>
    <ignoredError sqref="B14 B49 B71 B85 B98 B108 B117:B118 B128 B86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BD7DC-1AB3-42C7-A889-3D91171F9E48}">
  <sheetPr>
    <tabColor theme="9" tint="-0.249977111117893"/>
  </sheetPr>
  <dimension ref="B1:AD57"/>
  <sheetViews>
    <sheetView workbookViewId="0">
      <selection activeCell="N19" sqref="N19:R19"/>
    </sheetView>
  </sheetViews>
  <sheetFormatPr defaultRowHeight="15" x14ac:dyDescent="0.25"/>
  <cols>
    <col min="2" max="2" width="11.140625" customWidth="1"/>
    <col min="3" max="3" width="4.140625" customWidth="1"/>
    <col min="4" max="4" width="2.7109375" customWidth="1"/>
    <col min="5" max="5" width="10.5703125" customWidth="1"/>
    <col min="6" max="6" width="4.140625" customWidth="1"/>
    <col min="7" max="7" width="2.7109375" customWidth="1"/>
    <col min="8" max="8" width="12.5703125" customWidth="1"/>
    <col min="9" max="9" width="5.85546875" customWidth="1"/>
    <col min="10" max="10" width="2.7109375" customWidth="1"/>
    <col min="11" max="11" width="18.28515625" customWidth="1"/>
    <col min="12" max="12" width="4.140625" customWidth="1"/>
    <col min="13" max="13" width="2.7109375" customWidth="1"/>
    <col min="14" max="14" width="16.42578125" customWidth="1"/>
    <col min="15" max="15" width="3.85546875" customWidth="1"/>
    <col min="16" max="16" width="2.7109375" customWidth="1"/>
    <col min="17" max="17" width="12" customWidth="1"/>
    <col min="19" max="19" width="2.7109375" customWidth="1"/>
    <col min="20" max="20" width="10.42578125" customWidth="1"/>
    <col min="21" max="21" width="12.85546875" customWidth="1"/>
    <col min="22" max="22" width="2.7109375" customWidth="1"/>
    <col min="24" max="24" width="9.140625" customWidth="1"/>
    <col min="25" max="25" width="2.7109375" customWidth="1"/>
    <col min="26" max="26" width="13" customWidth="1"/>
    <col min="28" max="28" width="2.7109375" customWidth="1"/>
    <col min="29" max="29" width="12.28515625" customWidth="1"/>
  </cols>
  <sheetData>
    <row r="1" spans="2:30" ht="33" customHeight="1" x14ac:dyDescent="0.5">
      <c r="B1" s="416" t="s">
        <v>146</v>
      </c>
      <c r="C1" s="416"/>
      <c r="D1" s="416"/>
      <c r="E1" s="416"/>
    </row>
    <row r="2" spans="2:30" ht="28.5" customHeight="1" thickBot="1" x14ac:dyDescent="0.3"/>
    <row r="3" spans="2:30" ht="45.75" customHeight="1" thickBot="1" x14ac:dyDescent="0.35">
      <c r="B3" s="417" t="s">
        <v>147</v>
      </c>
      <c r="C3" s="418"/>
      <c r="D3" s="33"/>
      <c r="E3" s="417" t="s">
        <v>148</v>
      </c>
      <c r="F3" s="418"/>
      <c r="G3" s="33"/>
      <c r="H3" s="427" t="s">
        <v>150</v>
      </c>
      <c r="I3" s="418"/>
      <c r="J3" s="33"/>
      <c r="K3" s="428" t="s">
        <v>151</v>
      </c>
      <c r="L3" s="418"/>
      <c r="M3" s="33"/>
      <c r="N3" s="378" t="s">
        <v>202</v>
      </c>
      <c r="O3" s="379"/>
      <c r="Q3" s="388" t="s">
        <v>203</v>
      </c>
      <c r="R3" s="389"/>
      <c r="T3" s="380" t="s">
        <v>205</v>
      </c>
      <c r="U3" s="381"/>
      <c r="W3" s="393" t="s">
        <v>636</v>
      </c>
      <c r="X3" s="394"/>
      <c r="Z3" s="386" t="s">
        <v>241</v>
      </c>
      <c r="AA3" s="387"/>
      <c r="AC3" s="382" t="s">
        <v>139</v>
      </c>
      <c r="AD3" s="383"/>
    </row>
    <row r="4" spans="2:30" ht="14.45" customHeight="1" x14ac:dyDescent="0.25">
      <c r="B4" s="34" t="s">
        <v>152</v>
      </c>
      <c r="C4" s="35">
        <v>11</v>
      </c>
      <c r="D4" s="33"/>
      <c r="E4" s="34" t="s">
        <v>153</v>
      </c>
      <c r="F4" s="35">
        <v>11</v>
      </c>
      <c r="G4" s="33"/>
      <c r="H4" s="34" t="s">
        <v>155</v>
      </c>
      <c r="I4" s="35">
        <v>11</v>
      </c>
      <c r="J4" s="33"/>
      <c r="K4" s="34" t="s">
        <v>156</v>
      </c>
      <c r="L4" s="35">
        <v>11</v>
      </c>
      <c r="M4" s="33"/>
      <c r="N4" s="153" t="s">
        <v>206</v>
      </c>
      <c r="O4" s="154">
        <v>11</v>
      </c>
      <c r="Q4" s="34" t="s">
        <v>207</v>
      </c>
      <c r="R4" s="35">
        <v>11</v>
      </c>
      <c r="T4" s="153" t="s">
        <v>209</v>
      </c>
      <c r="U4" s="52">
        <v>11</v>
      </c>
      <c r="W4" s="54" t="s">
        <v>256</v>
      </c>
      <c r="X4" s="52">
        <v>11</v>
      </c>
      <c r="Z4" s="51" t="s">
        <v>243</v>
      </c>
      <c r="AA4" s="52">
        <v>11</v>
      </c>
      <c r="AC4" s="158" t="s">
        <v>255</v>
      </c>
      <c r="AD4" s="159">
        <v>11</v>
      </c>
    </row>
    <row r="5" spans="2:30" x14ac:dyDescent="0.25">
      <c r="B5" s="36" t="s">
        <v>157</v>
      </c>
      <c r="C5" s="37">
        <v>10</v>
      </c>
      <c r="D5" s="33"/>
      <c r="E5" s="36" t="s">
        <v>158</v>
      </c>
      <c r="F5" s="37">
        <v>10</v>
      </c>
      <c r="G5" s="33"/>
      <c r="H5" s="36" t="s">
        <v>159</v>
      </c>
      <c r="I5" s="37">
        <v>10</v>
      </c>
      <c r="J5" s="33"/>
      <c r="K5" s="36" t="s">
        <v>160</v>
      </c>
      <c r="L5" s="37">
        <v>10</v>
      </c>
      <c r="M5" s="33"/>
      <c r="N5" s="155" t="s">
        <v>210</v>
      </c>
      <c r="O5" s="45">
        <v>10</v>
      </c>
      <c r="Q5" s="36" t="s">
        <v>211</v>
      </c>
      <c r="R5" s="37">
        <v>10</v>
      </c>
      <c r="T5" s="36" t="s">
        <v>0</v>
      </c>
      <c r="U5" s="35">
        <v>10</v>
      </c>
      <c r="W5" s="46"/>
      <c r="X5" s="37">
        <v>10</v>
      </c>
      <c r="Z5" s="46" t="s">
        <v>245</v>
      </c>
      <c r="AA5" s="37">
        <v>10</v>
      </c>
      <c r="AC5" s="55" t="s">
        <v>257</v>
      </c>
      <c r="AD5" s="160">
        <v>10</v>
      </c>
    </row>
    <row r="6" spans="2:30" x14ac:dyDescent="0.25">
      <c r="B6" s="36" t="s">
        <v>161</v>
      </c>
      <c r="C6" s="37">
        <v>9</v>
      </c>
      <c r="D6" s="33"/>
      <c r="E6" s="36" t="s">
        <v>162</v>
      </c>
      <c r="F6" s="37">
        <v>9</v>
      </c>
      <c r="G6" s="33"/>
      <c r="H6" s="36" t="s">
        <v>163</v>
      </c>
      <c r="I6" s="37">
        <v>9</v>
      </c>
      <c r="J6" s="33"/>
      <c r="K6" s="36" t="s">
        <v>164</v>
      </c>
      <c r="L6" s="37">
        <v>9</v>
      </c>
      <c r="M6" s="33"/>
      <c r="N6" s="155" t="s">
        <v>163</v>
      </c>
      <c r="O6" s="45">
        <v>9</v>
      </c>
      <c r="Q6" s="36" t="s">
        <v>213</v>
      </c>
      <c r="R6" s="37">
        <v>9</v>
      </c>
      <c r="T6" s="36" t="s">
        <v>215</v>
      </c>
      <c r="U6" s="35">
        <v>9</v>
      </c>
      <c r="W6" s="46" t="s">
        <v>0</v>
      </c>
      <c r="X6" s="37">
        <v>9</v>
      </c>
      <c r="Z6" s="46" t="s">
        <v>247</v>
      </c>
      <c r="AA6" s="37">
        <v>9</v>
      </c>
      <c r="AC6" s="55" t="s">
        <v>258</v>
      </c>
      <c r="AD6" s="160">
        <v>9</v>
      </c>
    </row>
    <row r="7" spans="2:30" x14ac:dyDescent="0.25">
      <c r="B7" s="39" t="s">
        <v>165</v>
      </c>
      <c r="C7" s="40">
        <v>8</v>
      </c>
      <c r="D7" s="33"/>
      <c r="E7" s="39" t="s">
        <v>166</v>
      </c>
      <c r="F7" s="40">
        <v>8</v>
      </c>
      <c r="G7" s="33"/>
      <c r="H7" s="39" t="s">
        <v>167</v>
      </c>
      <c r="I7" s="40">
        <v>8</v>
      </c>
      <c r="J7" s="33"/>
      <c r="K7" s="36" t="s">
        <v>168</v>
      </c>
      <c r="L7" s="37">
        <v>8</v>
      </c>
      <c r="M7" s="33"/>
      <c r="N7" s="156">
        <v>1</v>
      </c>
      <c r="O7" s="157">
        <v>8</v>
      </c>
      <c r="Q7" s="43">
        <v>0.15</v>
      </c>
      <c r="R7" s="40">
        <v>8</v>
      </c>
      <c r="T7" s="36" t="s">
        <v>0</v>
      </c>
      <c r="U7" s="35">
        <v>8</v>
      </c>
      <c r="W7" s="46" t="s">
        <v>0</v>
      </c>
      <c r="X7" s="37">
        <v>8</v>
      </c>
      <c r="Z7" s="46" t="s">
        <v>248</v>
      </c>
      <c r="AA7" s="37">
        <v>8</v>
      </c>
      <c r="AC7" s="161">
        <v>100</v>
      </c>
      <c r="AD7" s="162">
        <v>8</v>
      </c>
    </row>
    <row r="8" spans="2:30" x14ac:dyDescent="0.25">
      <c r="B8" s="36" t="s">
        <v>169</v>
      </c>
      <c r="C8" s="37">
        <v>7</v>
      </c>
      <c r="D8" s="33"/>
      <c r="E8" s="36" t="s">
        <v>170</v>
      </c>
      <c r="F8" s="37">
        <v>7</v>
      </c>
      <c r="G8" s="33"/>
      <c r="H8" s="36" t="s">
        <v>171</v>
      </c>
      <c r="I8" s="37">
        <v>7</v>
      </c>
      <c r="J8" s="33"/>
      <c r="K8" s="39" t="s">
        <v>172</v>
      </c>
      <c r="L8" s="40">
        <v>7</v>
      </c>
      <c r="M8" s="33"/>
      <c r="N8" s="36" t="s">
        <v>216</v>
      </c>
      <c r="O8" s="45">
        <v>7</v>
      </c>
      <c r="Q8" s="46">
        <v>0.14000000000000001</v>
      </c>
      <c r="R8" s="37">
        <v>7</v>
      </c>
      <c r="T8" s="36" t="s">
        <v>218</v>
      </c>
      <c r="U8" s="35">
        <v>7</v>
      </c>
      <c r="W8" s="55" t="s">
        <v>513</v>
      </c>
      <c r="X8" s="37">
        <v>7</v>
      </c>
      <c r="Z8" s="46"/>
      <c r="AA8" s="37">
        <v>7</v>
      </c>
      <c r="AC8" s="55" t="s">
        <v>260</v>
      </c>
      <c r="AD8" s="160">
        <v>7</v>
      </c>
    </row>
    <row r="9" spans="2:30" x14ac:dyDescent="0.25">
      <c r="B9" s="36" t="s">
        <v>173</v>
      </c>
      <c r="C9" s="37">
        <v>6</v>
      </c>
      <c r="D9" s="33"/>
      <c r="E9" s="36" t="s">
        <v>174</v>
      </c>
      <c r="F9" s="37">
        <v>6</v>
      </c>
      <c r="G9" s="33"/>
      <c r="H9" s="36" t="s">
        <v>176</v>
      </c>
      <c r="I9" s="37">
        <v>6</v>
      </c>
      <c r="J9" s="33"/>
      <c r="K9" s="36" t="s">
        <v>177</v>
      </c>
      <c r="L9" s="37">
        <v>6</v>
      </c>
      <c r="M9" s="33"/>
      <c r="N9" s="36" t="s">
        <v>219</v>
      </c>
      <c r="O9" s="45">
        <v>6</v>
      </c>
      <c r="Q9" s="46">
        <v>0.13</v>
      </c>
      <c r="R9" s="37">
        <v>6</v>
      </c>
      <c r="T9" s="36" t="s">
        <v>0</v>
      </c>
      <c r="U9" s="35">
        <v>6</v>
      </c>
      <c r="W9" s="55" t="s">
        <v>514</v>
      </c>
      <c r="X9" s="37">
        <v>6</v>
      </c>
      <c r="Z9" s="46"/>
      <c r="AA9" s="37">
        <v>6</v>
      </c>
      <c r="AC9" s="55" t="s">
        <v>261</v>
      </c>
      <c r="AD9" s="160">
        <v>6</v>
      </c>
    </row>
    <row r="10" spans="2:30" x14ac:dyDescent="0.25">
      <c r="B10" s="36" t="s">
        <v>178</v>
      </c>
      <c r="C10" s="37">
        <v>5</v>
      </c>
      <c r="D10" s="33"/>
      <c r="E10" s="36" t="s">
        <v>179</v>
      </c>
      <c r="F10" s="37">
        <v>5</v>
      </c>
      <c r="G10" s="33"/>
      <c r="H10" s="36" t="s">
        <v>180</v>
      </c>
      <c r="I10" s="37">
        <v>5</v>
      </c>
      <c r="J10" s="33"/>
      <c r="K10" s="36" t="s">
        <v>181</v>
      </c>
      <c r="L10" s="37">
        <v>5</v>
      </c>
      <c r="M10" s="33"/>
      <c r="N10" s="36" t="s">
        <v>221</v>
      </c>
      <c r="O10" s="45">
        <v>5</v>
      </c>
      <c r="Q10" s="36" t="s">
        <v>222</v>
      </c>
      <c r="R10" s="37">
        <v>5</v>
      </c>
      <c r="T10" s="36" t="s">
        <v>224</v>
      </c>
      <c r="U10" s="35">
        <v>5</v>
      </c>
      <c r="W10" s="55" t="s">
        <v>515</v>
      </c>
      <c r="X10" s="37">
        <v>5</v>
      </c>
      <c r="Z10" s="46"/>
      <c r="AA10" s="37">
        <v>5</v>
      </c>
      <c r="AC10" s="163" t="s">
        <v>262</v>
      </c>
      <c r="AD10" s="160">
        <v>5</v>
      </c>
    </row>
    <row r="11" spans="2:30" x14ac:dyDescent="0.25">
      <c r="B11" s="36" t="s">
        <v>182</v>
      </c>
      <c r="C11" s="37">
        <v>4</v>
      </c>
      <c r="D11" s="33"/>
      <c r="E11" s="36" t="s">
        <v>183</v>
      </c>
      <c r="F11" s="37">
        <v>4</v>
      </c>
      <c r="G11" s="33"/>
      <c r="H11" s="36" t="s">
        <v>184</v>
      </c>
      <c r="I11" s="37">
        <v>4</v>
      </c>
      <c r="J11" s="33"/>
      <c r="K11" s="36" t="s">
        <v>185</v>
      </c>
      <c r="L11" s="37">
        <v>4</v>
      </c>
      <c r="M11" s="33"/>
      <c r="N11" s="36" t="s">
        <v>225</v>
      </c>
      <c r="O11" s="45">
        <v>4</v>
      </c>
      <c r="Q11" s="36" t="s">
        <v>226</v>
      </c>
      <c r="R11" s="37">
        <v>4</v>
      </c>
      <c r="T11" s="36" t="s">
        <v>0</v>
      </c>
      <c r="U11" s="35">
        <v>4</v>
      </c>
      <c r="W11" s="55" t="s">
        <v>516</v>
      </c>
      <c r="X11" s="37">
        <v>4</v>
      </c>
      <c r="Z11" s="46"/>
      <c r="AA11" s="37">
        <v>4</v>
      </c>
      <c r="AC11" s="55" t="s">
        <v>263</v>
      </c>
      <c r="AD11" s="160">
        <v>4</v>
      </c>
    </row>
    <row r="12" spans="2:30" x14ac:dyDescent="0.25">
      <c r="B12" s="36" t="s">
        <v>186</v>
      </c>
      <c r="C12" s="37">
        <v>3</v>
      </c>
      <c r="D12" s="33"/>
      <c r="E12" s="36" t="s">
        <v>187</v>
      </c>
      <c r="F12" s="37">
        <v>3</v>
      </c>
      <c r="G12" s="33"/>
      <c r="H12" s="36" t="s">
        <v>188</v>
      </c>
      <c r="I12" s="37">
        <v>3</v>
      </c>
      <c r="J12" s="33"/>
      <c r="K12" s="36" t="s">
        <v>189</v>
      </c>
      <c r="L12" s="37">
        <v>3</v>
      </c>
      <c r="M12" s="33"/>
      <c r="N12" s="36" t="s">
        <v>228</v>
      </c>
      <c r="O12" s="45">
        <v>3</v>
      </c>
      <c r="Q12" s="36" t="s">
        <v>229</v>
      </c>
      <c r="R12" s="37">
        <v>3</v>
      </c>
      <c r="T12" s="36" t="s">
        <v>231</v>
      </c>
      <c r="U12" s="35">
        <v>3</v>
      </c>
      <c r="W12" s="55" t="s">
        <v>517</v>
      </c>
      <c r="X12" s="37">
        <v>3</v>
      </c>
      <c r="Z12" s="46"/>
      <c r="AA12" s="37">
        <v>3</v>
      </c>
      <c r="AC12" s="55" t="s">
        <v>264</v>
      </c>
      <c r="AD12" s="160">
        <v>3</v>
      </c>
    </row>
    <row r="13" spans="2:30" x14ac:dyDescent="0.25">
      <c r="B13" s="36" t="s">
        <v>190</v>
      </c>
      <c r="C13" s="37">
        <v>2</v>
      </c>
      <c r="D13" s="33"/>
      <c r="E13" s="36" t="s">
        <v>191</v>
      </c>
      <c r="F13" s="37">
        <v>2</v>
      </c>
      <c r="G13" s="33"/>
      <c r="H13" s="36" t="s">
        <v>192</v>
      </c>
      <c r="I13" s="37">
        <v>2</v>
      </c>
      <c r="J13" s="33"/>
      <c r="K13" s="36" t="s">
        <v>193</v>
      </c>
      <c r="L13" s="37">
        <v>2</v>
      </c>
      <c r="M13" s="33"/>
      <c r="N13" s="36" t="s">
        <v>232</v>
      </c>
      <c r="O13" s="45">
        <v>2</v>
      </c>
      <c r="Q13" s="36" t="s">
        <v>233</v>
      </c>
      <c r="R13" s="37">
        <v>2</v>
      </c>
      <c r="T13" s="36" t="s">
        <v>235</v>
      </c>
      <c r="U13" s="35">
        <v>2</v>
      </c>
      <c r="W13" s="55" t="s">
        <v>518</v>
      </c>
      <c r="X13" s="37">
        <v>2</v>
      </c>
      <c r="Z13" s="46"/>
      <c r="AA13" s="37">
        <v>2</v>
      </c>
      <c r="AC13" s="55" t="s">
        <v>265</v>
      </c>
      <c r="AD13" s="160">
        <v>2</v>
      </c>
    </row>
    <row r="14" spans="2:30" x14ac:dyDescent="0.25">
      <c r="B14" s="36" t="s">
        <v>194</v>
      </c>
      <c r="C14" s="37">
        <v>1</v>
      </c>
      <c r="D14" s="33"/>
      <c r="E14" s="36" t="s">
        <v>195</v>
      </c>
      <c r="F14" s="37">
        <v>1</v>
      </c>
      <c r="G14" s="33"/>
      <c r="H14" s="36" t="s">
        <v>196</v>
      </c>
      <c r="I14" s="37">
        <v>1</v>
      </c>
      <c r="J14" s="33"/>
      <c r="K14" s="36" t="s">
        <v>197</v>
      </c>
      <c r="L14" s="37">
        <v>1</v>
      </c>
      <c r="M14" s="33"/>
      <c r="N14" s="36" t="s">
        <v>236</v>
      </c>
      <c r="O14" s="45">
        <v>1</v>
      </c>
      <c r="Q14" s="36" t="s">
        <v>237</v>
      </c>
      <c r="R14" s="37">
        <v>1</v>
      </c>
      <c r="T14" s="36" t="s">
        <v>0</v>
      </c>
      <c r="U14" s="35">
        <v>1</v>
      </c>
      <c r="W14" s="55" t="s">
        <v>519</v>
      </c>
      <c r="X14" s="37">
        <v>1</v>
      </c>
      <c r="Z14" s="46"/>
      <c r="AA14" s="37">
        <v>1</v>
      </c>
      <c r="AC14" s="55" t="s">
        <v>266</v>
      </c>
      <c r="AD14" s="160">
        <v>1</v>
      </c>
    </row>
    <row r="15" spans="2:30" ht="15.6" customHeight="1" thickBot="1" x14ac:dyDescent="0.3">
      <c r="B15" s="41" t="s">
        <v>290</v>
      </c>
      <c r="C15" s="42">
        <v>0</v>
      </c>
      <c r="D15" s="33"/>
      <c r="E15" s="41" t="s">
        <v>198</v>
      </c>
      <c r="F15" s="42">
        <v>0</v>
      </c>
      <c r="G15" s="33"/>
      <c r="H15" s="41" t="s">
        <v>200</v>
      </c>
      <c r="I15" s="42">
        <v>0</v>
      </c>
      <c r="J15" s="33"/>
      <c r="K15" s="41" t="s">
        <v>201</v>
      </c>
      <c r="L15" s="42">
        <v>0</v>
      </c>
      <c r="M15" s="33"/>
      <c r="N15" s="41" t="s">
        <v>239</v>
      </c>
      <c r="O15" s="47">
        <v>0</v>
      </c>
      <c r="Q15" s="48">
        <v>0</v>
      </c>
      <c r="R15" s="42">
        <v>0</v>
      </c>
      <c r="T15" s="41" t="s">
        <v>240</v>
      </c>
      <c r="U15" s="166">
        <v>0</v>
      </c>
      <c r="W15" s="57">
        <v>0</v>
      </c>
      <c r="X15" s="42">
        <v>0</v>
      </c>
      <c r="Z15" s="53" t="s">
        <v>252</v>
      </c>
      <c r="AA15" s="42">
        <v>0</v>
      </c>
      <c r="AC15" s="164">
        <v>0</v>
      </c>
      <c r="AD15" s="165">
        <v>0</v>
      </c>
    </row>
    <row r="16" spans="2:30" ht="14.45" customHeight="1" x14ac:dyDescent="0.25"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</row>
    <row r="17" spans="2:26" ht="15" customHeight="1" thickBot="1" x14ac:dyDescent="0.3"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</row>
    <row r="18" spans="2:26" ht="45.75" customHeight="1" thickBot="1" x14ac:dyDescent="0.35">
      <c r="B18" s="419" t="s">
        <v>204</v>
      </c>
      <c r="C18" s="381"/>
      <c r="D18" s="33"/>
      <c r="E18" s="390" t="s">
        <v>632</v>
      </c>
      <c r="F18" s="391"/>
      <c r="G18" s="391"/>
      <c r="H18" s="391"/>
      <c r="I18" s="392"/>
      <c r="J18" s="33"/>
      <c r="K18" s="390" t="s">
        <v>633</v>
      </c>
      <c r="L18" s="392"/>
      <c r="N18" s="404" t="s">
        <v>249</v>
      </c>
      <c r="O18" s="405"/>
      <c r="P18" s="405"/>
      <c r="Q18" s="405"/>
      <c r="R18" s="405"/>
      <c r="S18" s="406"/>
      <c r="U18" s="410" t="s">
        <v>149</v>
      </c>
      <c r="V18" s="411"/>
      <c r="X18" s="390" t="s">
        <v>637</v>
      </c>
      <c r="Y18" s="391"/>
      <c r="Z18" s="392"/>
    </row>
    <row r="19" spans="2:26" ht="14.45" customHeight="1" x14ac:dyDescent="0.25">
      <c r="B19" s="34" t="s">
        <v>208</v>
      </c>
      <c r="C19" s="35">
        <v>11</v>
      </c>
      <c r="D19" s="33"/>
      <c r="E19" s="420" t="s">
        <v>242</v>
      </c>
      <c r="F19" s="421"/>
      <c r="G19" s="421"/>
      <c r="H19" s="421"/>
      <c r="I19" s="422"/>
      <c r="J19" s="33"/>
      <c r="K19" s="395" t="s">
        <v>635</v>
      </c>
      <c r="L19" s="397"/>
      <c r="N19" s="407" t="s">
        <v>250</v>
      </c>
      <c r="O19" s="408"/>
      <c r="P19" s="408"/>
      <c r="Q19" s="408"/>
      <c r="R19" s="408"/>
      <c r="S19" s="52">
        <v>11</v>
      </c>
      <c r="U19" s="34" t="s">
        <v>154</v>
      </c>
      <c r="V19" s="35">
        <v>11</v>
      </c>
      <c r="X19" s="395" t="s">
        <v>634</v>
      </c>
      <c r="Y19" s="396"/>
      <c r="Z19" s="397"/>
    </row>
    <row r="20" spans="2:26" x14ac:dyDescent="0.25">
      <c r="B20" s="36" t="s">
        <v>212</v>
      </c>
      <c r="C20" s="37">
        <v>10</v>
      </c>
      <c r="D20" s="33"/>
      <c r="E20" s="414" t="s">
        <v>244</v>
      </c>
      <c r="F20" s="415"/>
      <c r="G20" s="415"/>
      <c r="H20" s="415"/>
      <c r="I20" s="423"/>
      <c r="J20" s="33"/>
      <c r="K20" s="398"/>
      <c r="L20" s="400"/>
      <c r="N20" s="414"/>
      <c r="O20" s="415"/>
      <c r="P20" s="415"/>
      <c r="Q20" s="415"/>
      <c r="R20" s="415"/>
      <c r="S20" s="37">
        <v>10</v>
      </c>
      <c r="U20" s="38" t="s">
        <v>0</v>
      </c>
      <c r="V20" s="37">
        <v>10</v>
      </c>
      <c r="X20" s="398"/>
      <c r="Y20" s="399"/>
      <c r="Z20" s="400"/>
    </row>
    <row r="21" spans="2:26" ht="15.75" thickBot="1" x14ac:dyDescent="0.3">
      <c r="B21" s="36" t="s">
        <v>214</v>
      </c>
      <c r="C21" s="37">
        <v>9</v>
      </c>
      <c r="D21" s="33"/>
      <c r="E21" s="424" t="s">
        <v>246</v>
      </c>
      <c r="F21" s="425"/>
      <c r="G21" s="425"/>
      <c r="H21" s="425"/>
      <c r="I21" s="426"/>
      <c r="J21" s="33"/>
      <c r="K21" s="398"/>
      <c r="L21" s="400"/>
      <c r="N21" s="384"/>
      <c r="O21" s="385"/>
      <c r="P21" s="385"/>
      <c r="Q21" s="385"/>
      <c r="R21" s="385"/>
      <c r="S21" s="37">
        <v>9</v>
      </c>
      <c r="U21" s="38" t="s">
        <v>0</v>
      </c>
      <c r="V21" s="37">
        <v>9</v>
      </c>
      <c r="X21" s="398"/>
      <c r="Y21" s="399"/>
      <c r="Z21" s="400"/>
    </row>
    <row r="22" spans="2:26" x14ac:dyDescent="0.25">
      <c r="B22" s="44">
        <v>500</v>
      </c>
      <c r="C22" s="40">
        <v>8</v>
      </c>
      <c r="D22" s="33"/>
      <c r="G22" s="33"/>
      <c r="J22" s="33"/>
      <c r="K22" s="398"/>
      <c r="L22" s="400"/>
      <c r="M22" s="33"/>
      <c r="N22" s="384" t="s">
        <v>251</v>
      </c>
      <c r="O22" s="385"/>
      <c r="P22" s="385"/>
      <c r="Q22" s="385"/>
      <c r="R22" s="385"/>
      <c r="S22" s="37">
        <v>8</v>
      </c>
      <c r="U22" s="38" t="s">
        <v>0</v>
      </c>
      <c r="V22" s="37">
        <v>8</v>
      </c>
      <c r="X22" s="398"/>
      <c r="Y22" s="399"/>
      <c r="Z22" s="400"/>
    </row>
    <row r="23" spans="2:26" x14ac:dyDescent="0.25">
      <c r="B23" s="36" t="s">
        <v>217</v>
      </c>
      <c r="C23" s="37">
        <v>7</v>
      </c>
      <c r="D23" s="33"/>
      <c r="G23" s="33"/>
      <c r="J23" s="33"/>
      <c r="K23" s="398"/>
      <c r="L23" s="400"/>
      <c r="M23" s="33"/>
      <c r="N23" s="384"/>
      <c r="O23" s="385"/>
      <c r="P23" s="385"/>
      <c r="Q23" s="385"/>
      <c r="R23" s="385"/>
      <c r="S23" s="37">
        <v>7</v>
      </c>
      <c r="U23" s="38" t="s">
        <v>0</v>
      </c>
      <c r="V23" s="37">
        <v>7</v>
      </c>
      <c r="X23" s="398"/>
      <c r="Y23" s="399"/>
      <c r="Z23" s="400"/>
    </row>
    <row r="24" spans="2:26" x14ac:dyDescent="0.25">
      <c r="B24" s="36" t="s">
        <v>220</v>
      </c>
      <c r="C24" s="37">
        <v>6</v>
      </c>
      <c r="D24" s="33"/>
      <c r="G24" s="33"/>
      <c r="J24" s="33"/>
      <c r="K24" s="398"/>
      <c r="L24" s="400"/>
      <c r="M24" s="33"/>
      <c r="N24" s="384"/>
      <c r="O24" s="385"/>
      <c r="P24" s="385"/>
      <c r="Q24" s="385"/>
      <c r="R24" s="385"/>
      <c r="S24" s="37">
        <v>6</v>
      </c>
      <c r="U24" s="39" t="s">
        <v>175</v>
      </c>
      <c r="V24" s="40">
        <v>6</v>
      </c>
      <c r="X24" s="398"/>
      <c r="Y24" s="399"/>
      <c r="Z24" s="400"/>
    </row>
    <row r="25" spans="2:26" x14ac:dyDescent="0.25">
      <c r="B25" s="36" t="s">
        <v>223</v>
      </c>
      <c r="C25" s="37">
        <v>5</v>
      </c>
      <c r="D25" s="33"/>
      <c r="G25" s="33"/>
      <c r="J25" s="33"/>
      <c r="K25" s="398"/>
      <c r="L25" s="400"/>
      <c r="M25" s="33"/>
      <c r="N25" s="384" t="s">
        <v>253</v>
      </c>
      <c r="O25" s="385"/>
      <c r="P25" s="385"/>
      <c r="Q25" s="385"/>
      <c r="R25" s="385"/>
      <c r="S25" s="37">
        <v>5</v>
      </c>
      <c r="U25" s="36" t="s">
        <v>0</v>
      </c>
      <c r="V25" s="37">
        <v>5</v>
      </c>
      <c r="X25" s="398"/>
      <c r="Y25" s="399"/>
      <c r="Z25" s="400"/>
    </row>
    <row r="26" spans="2:26" x14ac:dyDescent="0.25">
      <c r="B26" s="36" t="s">
        <v>227</v>
      </c>
      <c r="C26" s="37">
        <v>4</v>
      </c>
      <c r="D26" s="33"/>
      <c r="G26" s="33"/>
      <c r="J26" s="33"/>
      <c r="K26" s="398"/>
      <c r="L26" s="400"/>
      <c r="M26" s="33"/>
      <c r="N26" s="384"/>
      <c r="O26" s="385"/>
      <c r="P26" s="385"/>
      <c r="Q26" s="385"/>
      <c r="R26" s="385"/>
      <c r="S26" s="37">
        <v>4</v>
      </c>
      <c r="U26" s="38" t="s">
        <v>0</v>
      </c>
      <c r="V26" s="37">
        <v>4</v>
      </c>
      <c r="X26" s="398"/>
      <c r="Y26" s="399"/>
      <c r="Z26" s="400"/>
    </row>
    <row r="27" spans="2:26" x14ac:dyDescent="0.25">
      <c r="B27" s="36" t="s">
        <v>230</v>
      </c>
      <c r="C27" s="37">
        <v>3</v>
      </c>
      <c r="D27" s="33"/>
      <c r="G27" s="33"/>
      <c r="J27" s="33"/>
      <c r="K27" s="398"/>
      <c r="L27" s="400"/>
      <c r="M27" s="33"/>
      <c r="N27" s="384" t="s">
        <v>254</v>
      </c>
      <c r="O27" s="385"/>
      <c r="P27" s="385"/>
      <c r="Q27" s="385"/>
      <c r="R27" s="385"/>
      <c r="S27" s="37">
        <v>3</v>
      </c>
      <c r="U27" s="38" t="s">
        <v>0</v>
      </c>
      <c r="V27" s="37">
        <v>3</v>
      </c>
      <c r="X27" s="398"/>
      <c r="Y27" s="399"/>
      <c r="Z27" s="400"/>
    </row>
    <row r="28" spans="2:26" x14ac:dyDescent="0.25">
      <c r="B28" s="36" t="s">
        <v>234</v>
      </c>
      <c r="C28" s="37">
        <v>2</v>
      </c>
      <c r="D28" s="33"/>
      <c r="G28" s="33"/>
      <c r="J28" s="33"/>
      <c r="K28" s="398"/>
      <c r="L28" s="400"/>
      <c r="M28" s="33"/>
      <c r="N28" s="384"/>
      <c r="O28" s="385"/>
      <c r="P28" s="385"/>
      <c r="Q28" s="385"/>
      <c r="R28" s="385"/>
      <c r="S28" s="37">
        <v>2</v>
      </c>
      <c r="U28" s="38" t="s">
        <v>0</v>
      </c>
      <c r="V28" s="37">
        <v>2</v>
      </c>
      <c r="X28" s="398"/>
      <c r="Y28" s="399"/>
      <c r="Z28" s="400"/>
    </row>
    <row r="29" spans="2:26" x14ac:dyDescent="0.25">
      <c r="B29" s="36" t="s">
        <v>238</v>
      </c>
      <c r="C29" s="37">
        <v>1</v>
      </c>
      <c r="D29" s="33"/>
      <c r="G29" s="33"/>
      <c r="J29" s="33"/>
      <c r="K29" s="398"/>
      <c r="L29" s="400"/>
      <c r="M29" s="33"/>
      <c r="N29" s="384"/>
      <c r="O29" s="385"/>
      <c r="P29" s="385"/>
      <c r="Q29" s="385"/>
      <c r="R29" s="385"/>
      <c r="S29" s="37">
        <v>1</v>
      </c>
      <c r="U29" s="38" t="s">
        <v>0</v>
      </c>
      <c r="V29" s="37">
        <v>1</v>
      </c>
      <c r="X29" s="398"/>
      <c r="Y29" s="399"/>
      <c r="Z29" s="400"/>
    </row>
    <row r="30" spans="2:26" ht="15.75" thickBot="1" x14ac:dyDescent="0.3">
      <c r="B30" s="49">
        <v>0</v>
      </c>
      <c r="C30" s="42">
        <v>0</v>
      </c>
      <c r="D30" s="33"/>
      <c r="G30" s="33"/>
      <c r="J30" s="33"/>
      <c r="K30" s="401"/>
      <c r="L30" s="403"/>
      <c r="M30" s="33"/>
      <c r="N30" s="412" t="s">
        <v>259</v>
      </c>
      <c r="O30" s="413"/>
      <c r="P30" s="413"/>
      <c r="Q30" s="413"/>
      <c r="R30" s="413"/>
      <c r="S30" s="42">
        <v>0</v>
      </c>
      <c r="U30" s="41" t="s">
        <v>199</v>
      </c>
      <c r="V30" s="42">
        <v>0</v>
      </c>
      <c r="X30" s="401"/>
      <c r="Y30" s="402"/>
      <c r="Z30" s="403"/>
    </row>
    <row r="31" spans="2:26" x14ac:dyDescent="0.25">
      <c r="X31" s="152"/>
      <c r="Y31" s="152"/>
      <c r="Z31" s="152"/>
    </row>
    <row r="32" spans="2:26" ht="45.75" customHeight="1" x14ac:dyDescent="0.5">
      <c r="B32" s="409"/>
      <c r="C32" s="409"/>
      <c r="D32" s="409"/>
      <c r="E32" s="409"/>
    </row>
    <row r="33" spans="2:16" ht="14.45" customHeight="1" x14ac:dyDescent="0.5">
      <c r="B33" s="50"/>
      <c r="C33" s="50"/>
      <c r="D33" s="50"/>
      <c r="E33" s="50"/>
    </row>
    <row r="34" spans="2:16" ht="15" customHeight="1" x14ac:dyDescent="0.5">
      <c r="B34" s="50"/>
      <c r="C34" s="50"/>
      <c r="D34" s="50"/>
      <c r="E34" s="50"/>
    </row>
    <row r="35" spans="2:16" ht="47.45" customHeight="1" x14ac:dyDescent="0.25">
      <c r="G35" s="33"/>
      <c r="I35" s="33"/>
      <c r="J35" s="33"/>
      <c r="M35" s="33"/>
      <c r="P35" s="102"/>
    </row>
    <row r="36" spans="2:16" x14ac:dyDescent="0.25">
      <c r="G36" s="33"/>
      <c r="I36" s="33"/>
      <c r="J36" s="33"/>
      <c r="M36" s="33"/>
      <c r="P36" s="101"/>
    </row>
    <row r="37" spans="2:16" x14ac:dyDescent="0.25">
      <c r="G37" s="33"/>
      <c r="I37" s="33"/>
      <c r="J37" s="33"/>
      <c r="M37" s="33"/>
      <c r="P37" s="101"/>
    </row>
    <row r="38" spans="2:16" x14ac:dyDescent="0.25">
      <c r="G38" s="33"/>
      <c r="I38" s="33"/>
      <c r="J38" s="33"/>
      <c r="M38" s="33"/>
      <c r="P38" s="101"/>
    </row>
    <row r="39" spans="2:16" x14ac:dyDescent="0.25">
      <c r="B39" s="33"/>
      <c r="C39" s="33"/>
      <c r="D39" s="33"/>
      <c r="E39" s="33"/>
      <c r="F39" s="33"/>
      <c r="G39" s="33"/>
      <c r="I39" s="33"/>
      <c r="J39" s="33"/>
      <c r="M39" s="33" t="s">
        <v>0</v>
      </c>
      <c r="P39" s="101"/>
    </row>
    <row r="40" spans="2:16" x14ac:dyDescent="0.25">
      <c r="B40" s="33"/>
      <c r="C40" s="33"/>
      <c r="D40" s="33"/>
      <c r="E40" s="33"/>
      <c r="F40" s="33"/>
      <c r="G40" s="33"/>
      <c r="I40" s="33"/>
      <c r="J40" s="33"/>
      <c r="M40" s="33"/>
      <c r="P40" s="101"/>
    </row>
    <row r="41" spans="2:16" ht="18.600000000000001" customHeight="1" x14ac:dyDescent="0.25">
      <c r="B41" s="33"/>
      <c r="C41" s="33"/>
      <c r="D41" s="33"/>
      <c r="E41" s="33"/>
      <c r="F41" s="33"/>
      <c r="G41" s="33"/>
      <c r="I41" s="33"/>
      <c r="J41" s="33"/>
      <c r="M41" s="33"/>
      <c r="P41" s="101"/>
    </row>
    <row r="42" spans="2:16" x14ac:dyDescent="0.25">
      <c r="B42" s="33"/>
      <c r="C42" s="33"/>
      <c r="D42" s="33"/>
      <c r="E42" s="33"/>
      <c r="F42" s="33"/>
      <c r="G42" s="33"/>
      <c r="H42" s="33"/>
      <c r="I42" s="33"/>
      <c r="J42" s="33"/>
      <c r="M42" s="33"/>
      <c r="P42" s="101"/>
    </row>
    <row r="43" spans="2:16" x14ac:dyDescent="0.25">
      <c r="I43" s="33"/>
      <c r="J43" s="33"/>
      <c r="M43" s="33"/>
      <c r="P43" s="101"/>
    </row>
    <row r="44" spans="2:16" x14ac:dyDescent="0.25">
      <c r="I44" s="33"/>
      <c r="J44" s="33"/>
      <c r="M44" s="33"/>
      <c r="P44" s="101"/>
    </row>
    <row r="45" spans="2:16" x14ac:dyDescent="0.25">
      <c r="I45" s="33"/>
      <c r="J45" s="33"/>
      <c r="M45" s="33"/>
      <c r="P45" s="101"/>
    </row>
    <row r="46" spans="2:16" x14ac:dyDescent="0.25">
      <c r="I46" s="33"/>
      <c r="J46" s="33"/>
      <c r="M46" s="33"/>
      <c r="P46" s="101"/>
    </row>
    <row r="47" spans="2:16" x14ac:dyDescent="0.25">
      <c r="I47" s="33"/>
      <c r="J47" s="33"/>
      <c r="M47" s="33"/>
      <c r="P47" s="101"/>
    </row>
    <row r="48" spans="2:16" x14ac:dyDescent="0.25">
      <c r="I48" s="33"/>
      <c r="J48" s="33"/>
      <c r="K48" s="33"/>
      <c r="L48" s="33"/>
      <c r="M48" s="33"/>
    </row>
    <row r="49" spans="8:15" x14ac:dyDescent="0.25">
      <c r="I49" s="33"/>
      <c r="J49" s="33"/>
      <c r="K49" s="33"/>
      <c r="L49" s="33"/>
      <c r="M49" s="33"/>
      <c r="N49" s="33"/>
      <c r="O49" s="33"/>
    </row>
    <row r="50" spans="8:15" ht="15" customHeight="1" x14ac:dyDescent="0.25">
      <c r="I50" s="33"/>
      <c r="J50" s="33"/>
      <c r="M50" s="33"/>
    </row>
    <row r="51" spans="8:15" x14ac:dyDescent="0.25">
      <c r="I51" s="33"/>
      <c r="J51" s="33"/>
      <c r="M51" s="33"/>
    </row>
    <row r="52" spans="8:15" x14ac:dyDescent="0.25">
      <c r="I52" s="33"/>
      <c r="J52" s="33"/>
      <c r="M52" s="33"/>
    </row>
    <row r="53" spans="8:15" x14ac:dyDescent="0.25">
      <c r="I53" s="33"/>
      <c r="J53" s="33"/>
      <c r="M53" s="33"/>
    </row>
    <row r="54" spans="8:15" x14ac:dyDescent="0.25">
      <c r="I54" s="33"/>
      <c r="J54" s="33"/>
      <c r="M54" s="33"/>
    </row>
    <row r="55" spans="8:15" x14ac:dyDescent="0.25">
      <c r="I55" s="33"/>
      <c r="J55" s="33"/>
      <c r="M55" s="33"/>
    </row>
    <row r="57" spans="8:15" ht="15.75" x14ac:dyDescent="0.3">
      <c r="H57" s="56"/>
    </row>
  </sheetData>
  <mergeCells count="35">
    <mergeCell ref="B1:E1"/>
    <mergeCell ref="B3:C3"/>
    <mergeCell ref="E3:F3"/>
    <mergeCell ref="K19:L30"/>
    <mergeCell ref="B18:C18"/>
    <mergeCell ref="E19:I19"/>
    <mergeCell ref="E20:I20"/>
    <mergeCell ref="E21:I21"/>
    <mergeCell ref="K18:L18"/>
    <mergeCell ref="E18:I18"/>
    <mergeCell ref="H3:I3"/>
    <mergeCell ref="K3:L3"/>
    <mergeCell ref="B32:E32"/>
    <mergeCell ref="N21:R21"/>
    <mergeCell ref="N22:R22"/>
    <mergeCell ref="N23:R23"/>
    <mergeCell ref="U18:V18"/>
    <mergeCell ref="N30:R30"/>
    <mergeCell ref="N20:R20"/>
    <mergeCell ref="N3:O3"/>
    <mergeCell ref="T3:U3"/>
    <mergeCell ref="AC3:AD3"/>
    <mergeCell ref="N28:R28"/>
    <mergeCell ref="N29:R29"/>
    <mergeCell ref="N24:R24"/>
    <mergeCell ref="N25:R25"/>
    <mergeCell ref="Z3:AA3"/>
    <mergeCell ref="Q3:R3"/>
    <mergeCell ref="X18:Z18"/>
    <mergeCell ref="W3:X3"/>
    <mergeCell ref="X19:Z30"/>
    <mergeCell ref="N26:R26"/>
    <mergeCell ref="N27:R27"/>
    <mergeCell ref="N18:S18"/>
    <mergeCell ref="N19:R19"/>
  </mergeCells>
  <pageMargins left="0.2" right="0.2" top="0.2" bottom="0.2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4BAED-2F23-45A0-8E8F-C01A0568D59C}">
  <sheetPr>
    <tabColor rgb="FFFF0000"/>
  </sheetPr>
  <dimension ref="A1:J22"/>
  <sheetViews>
    <sheetView workbookViewId="0">
      <selection activeCell="J15" sqref="J15"/>
    </sheetView>
  </sheetViews>
  <sheetFormatPr defaultRowHeight="15" x14ac:dyDescent="0.25"/>
  <cols>
    <col min="1" max="1" width="24" customWidth="1"/>
    <col min="2" max="9" width="8.7109375" customWidth="1"/>
    <col min="10" max="10" width="15.28515625" customWidth="1"/>
  </cols>
  <sheetData>
    <row r="1" spans="1:10" ht="18.75" x14ac:dyDescent="0.4">
      <c r="A1" s="58" t="s">
        <v>267</v>
      </c>
      <c r="B1" s="59">
        <v>297</v>
      </c>
      <c r="C1" s="59">
        <v>908</v>
      </c>
      <c r="D1" s="59">
        <v>1101</v>
      </c>
      <c r="E1" s="59">
        <v>1153</v>
      </c>
      <c r="F1" s="59">
        <v>1169</v>
      </c>
      <c r="G1" s="59">
        <v>1375</v>
      </c>
      <c r="H1" s="59">
        <v>1539</v>
      </c>
      <c r="I1" s="59">
        <v>2189</v>
      </c>
      <c r="J1" s="58" t="s">
        <v>116</v>
      </c>
    </row>
    <row r="2" spans="1:10" ht="18.75" x14ac:dyDescent="0.25">
      <c r="A2" s="32" t="s">
        <v>268</v>
      </c>
      <c r="B2" s="9"/>
      <c r="C2" s="9"/>
      <c r="D2" s="9"/>
      <c r="E2" s="9"/>
      <c r="F2" s="9"/>
      <c r="G2" s="9"/>
      <c r="H2" s="9"/>
      <c r="I2" s="9"/>
      <c r="J2" s="9"/>
    </row>
    <row r="3" spans="1:10" x14ac:dyDescent="0.25">
      <c r="A3" s="60" t="s">
        <v>269</v>
      </c>
      <c r="B3" s="31">
        <f>Ratings!H4</f>
        <v>4</v>
      </c>
      <c r="C3" s="31">
        <f>Ratings!H5</f>
        <v>2</v>
      </c>
      <c r="D3" s="31">
        <f>Ratings!H6</f>
        <v>11</v>
      </c>
      <c r="E3" s="31">
        <f>Ratings!H7</f>
        <v>3</v>
      </c>
      <c r="F3" s="31">
        <f xml:space="preserve"> Ratings!H8</f>
        <v>7</v>
      </c>
      <c r="G3" s="31">
        <f>Ratings!H9</f>
        <v>6</v>
      </c>
      <c r="H3" s="31">
        <f>Ratings!H10</f>
        <v>11</v>
      </c>
      <c r="I3" s="31">
        <f xml:space="preserve"> Ratings!H11</f>
        <v>11</v>
      </c>
      <c r="J3" s="61">
        <f t="shared" ref="J3:J19" si="0">SUM(B3:I3)</f>
        <v>55</v>
      </c>
    </row>
    <row r="4" spans="1:10" x14ac:dyDescent="0.25">
      <c r="A4" s="60" t="s">
        <v>133</v>
      </c>
      <c r="B4" s="31">
        <f xml:space="preserve"> Ratings!J4</f>
        <v>9</v>
      </c>
      <c r="C4" s="31">
        <f>Ratings!J5</f>
        <v>5</v>
      </c>
      <c r="D4" s="31">
        <f>Ratings!J6</f>
        <v>10</v>
      </c>
      <c r="E4" s="31">
        <f xml:space="preserve"> Ratings!J7</f>
        <v>9</v>
      </c>
      <c r="F4" s="31">
        <f xml:space="preserve"> Ratings!J8</f>
        <v>10</v>
      </c>
      <c r="G4" s="31">
        <f>Ratings!J9</f>
        <v>9</v>
      </c>
      <c r="H4" s="31">
        <f>Ratings!J10</f>
        <v>10</v>
      </c>
      <c r="I4" s="31">
        <f>Ratings!J11</f>
        <v>9</v>
      </c>
      <c r="J4" s="61">
        <f t="shared" si="0"/>
        <v>71</v>
      </c>
    </row>
    <row r="5" spans="1:10" x14ac:dyDescent="0.25">
      <c r="A5" s="60" t="s">
        <v>270</v>
      </c>
      <c r="B5" s="31">
        <f xml:space="preserve"> Ratings!O4</f>
        <v>11</v>
      </c>
      <c r="C5" s="31">
        <f>Ratings!O5</f>
        <v>3</v>
      </c>
      <c r="D5" s="31">
        <f>Ratings!O6</f>
        <v>5</v>
      </c>
      <c r="E5" s="31">
        <f xml:space="preserve"> Ratings!O7</f>
        <v>9</v>
      </c>
      <c r="F5" s="31">
        <f xml:space="preserve"> Ratings!O8</f>
        <v>11</v>
      </c>
      <c r="G5" s="31">
        <f>Ratings!O9</f>
        <v>6</v>
      </c>
      <c r="H5" s="31">
        <f>Ratings!O10</f>
        <v>5</v>
      </c>
      <c r="I5" s="31">
        <f>Ratings!O11</f>
        <v>11</v>
      </c>
      <c r="J5" s="61">
        <f t="shared" si="0"/>
        <v>61</v>
      </c>
    </row>
    <row r="6" spans="1:10" x14ac:dyDescent="0.25">
      <c r="A6" s="62" t="s">
        <v>271</v>
      </c>
      <c r="B6" s="31">
        <f xml:space="preserve"> Ratings!Q4</f>
        <v>6</v>
      </c>
      <c r="C6" s="31">
        <f>Ratings!Q5</f>
        <v>3</v>
      </c>
      <c r="D6" s="31">
        <f>Ratings!Q6</f>
        <v>8</v>
      </c>
      <c r="E6" s="31">
        <f xml:space="preserve"> Ratings!Q7</f>
        <v>11</v>
      </c>
      <c r="F6" s="31">
        <f xml:space="preserve"> Ratings!Q8</f>
        <v>5</v>
      </c>
      <c r="G6" s="31">
        <f>Ratings!Q9</f>
        <v>8</v>
      </c>
      <c r="H6" s="31">
        <f>Ratings!Q10</f>
        <v>3</v>
      </c>
      <c r="I6" s="31">
        <f xml:space="preserve"> Ratings!Q11</f>
        <v>5</v>
      </c>
      <c r="J6" s="61">
        <f t="shared" si="0"/>
        <v>49</v>
      </c>
    </row>
    <row r="7" spans="1:10" x14ac:dyDescent="0.25">
      <c r="A7" s="60" t="s">
        <v>272</v>
      </c>
      <c r="B7" s="31">
        <f xml:space="preserve"> Ratings!V4</f>
        <v>11</v>
      </c>
      <c r="C7" s="31">
        <f>Ratings!V5</f>
        <v>0</v>
      </c>
      <c r="D7" s="31">
        <f>Ratings!V6</f>
        <v>11</v>
      </c>
      <c r="E7" s="31">
        <f xml:space="preserve"> Ratings!V7</f>
        <v>11</v>
      </c>
      <c r="F7" s="31">
        <f xml:space="preserve"> Ratings!V8</f>
        <v>1</v>
      </c>
      <c r="G7" s="31">
        <f>Ratings!V9</f>
        <v>11</v>
      </c>
      <c r="H7" s="31">
        <f>Ratings!V10</f>
        <v>11</v>
      </c>
      <c r="I7" s="31">
        <f xml:space="preserve"> Ratings!V11</f>
        <v>3</v>
      </c>
      <c r="J7" s="61">
        <f t="shared" si="0"/>
        <v>59</v>
      </c>
    </row>
    <row r="8" spans="1:10" x14ac:dyDescent="0.25">
      <c r="A8" s="60" t="s">
        <v>203</v>
      </c>
      <c r="B8" s="31">
        <f xml:space="preserve"> Ratings!Z4</f>
        <v>11</v>
      </c>
      <c r="C8" s="31">
        <f>Ratings!Z5</f>
        <v>5</v>
      </c>
      <c r="D8" s="31">
        <f>Ratings!Z6</f>
        <v>10</v>
      </c>
      <c r="E8" s="31">
        <f xml:space="preserve"> Ratings!Z7</f>
        <v>11</v>
      </c>
      <c r="F8" s="31">
        <f xml:space="preserve"> Ratings!Z8</f>
        <v>0</v>
      </c>
      <c r="G8" s="31">
        <f>Ratings!Z9</f>
        <v>10</v>
      </c>
      <c r="H8" s="31">
        <f>Ratings!Z10</f>
        <v>11</v>
      </c>
      <c r="I8" s="31">
        <f xml:space="preserve"> Ratings!Z11</f>
        <v>11</v>
      </c>
      <c r="J8" s="61">
        <f t="shared" si="0"/>
        <v>69</v>
      </c>
    </row>
    <row r="9" spans="1:10" x14ac:dyDescent="0.25">
      <c r="A9" s="60" t="s">
        <v>273</v>
      </c>
      <c r="B9" s="31">
        <f xml:space="preserve"> Ratings!AI4</f>
        <v>6</v>
      </c>
      <c r="C9" s="31">
        <f xml:space="preserve"> Ratings!AI5</f>
        <v>18</v>
      </c>
      <c r="D9" s="31">
        <f xml:space="preserve"> Ratings!AI6</f>
        <v>22</v>
      </c>
      <c r="E9" s="31">
        <f xml:space="preserve"> Ratings!AI7</f>
        <v>20</v>
      </c>
      <c r="F9" s="31">
        <f xml:space="preserve"> Ratings!AI8</f>
        <v>12</v>
      </c>
      <c r="G9" s="31">
        <f>Ratings!AI9</f>
        <v>16</v>
      </c>
      <c r="H9" s="31">
        <f>Ratings!AI10</f>
        <v>22</v>
      </c>
      <c r="I9" s="31">
        <f>Ratings!AI11</f>
        <v>14</v>
      </c>
      <c r="J9" s="61">
        <f t="shared" si="0"/>
        <v>130</v>
      </c>
    </row>
    <row r="10" spans="1:10" x14ac:dyDescent="0.25">
      <c r="A10" s="60" t="s">
        <v>274</v>
      </c>
      <c r="B10" s="31">
        <f xml:space="preserve"> Ratings!AK4</f>
        <v>6</v>
      </c>
      <c r="C10" s="31">
        <f>Ratings!AK5</f>
        <v>1</v>
      </c>
      <c r="D10" s="31">
        <f>Ratings!AK6</f>
        <v>11</v>
      </c>
      <c r="E10" s="31">
        <f xml:space="preserve"> Ratings!AK7</f>
        <v>7</v>
      </c>
      <c r="F10" s="31">
        <f xml:space="preserve"> Ratings!AK8</f>
        <v>1</v>
      </c>
      <c r="G10" s="31">
        <f>Ratings!AK9</f>
        <v>3</v>
      </c>
      <c r="H10" s="31">
        <f>Ratings!AK10</f>
        <v>7</v>
      </c>
      <c r="I10" s="31">
        <f>Ratings!AK11</f>
        <v>6</v>
      </c>
      <c r="J10" s="61">
        <f t="shared" si="0"/>
        <v>42</v>
      </c>
    </row>
    <row r="11" spans="1:10" x14ac:dyDescent="0.25">
      <c r="A11" s="60" t="s">
        <v>275</v>
      </c>
      <c r="B11" s="31">
        <f xml:space="preserve"> Ratings!AM4</f>
        <v>8</v>
      </c>
      <c r="C11" s="31">
        <f>Ratings!AM5</f>
        <v>8</v>
      </c>
      <c r="D11" s="31">
        <f>Ratings!AM6</f>
        <v>11</v>
      </c>
      <c r="E11" s="31">
        <f xml:space="preserve"> Ratings!AM7</f>
        <v>0</v>
      </c>
      <c r="F11" s="31">
        <f xml:space="preserve"> Ratings!AM8</f>
        <v>8</v>
      </c>
      <c r="G11" s="31">
        <f>Ratings!AM9</f>
        <v>9</v>
      </c>
      <c r="H11" s="31">
        <f>Ratings!AM10</f>
        <v>11</v>
      </c>
      <c r="I11" s="31">
        <f>Ratings!AM11</f>
        <v>8</v>
      </c>
      <c r="J11" s="61">
        <f t="shared" si="0"/>
        <v>63</v>
      </c>
    </row>
    <row r="12" spans="1:10" x14ac:dyDescent="0.25">
      <c r="A12" s="60" t="s">
        <v>139</v>
      </c>
      <c r="B12" s="31">
        <f xml:space="preserve"> Ratings!AO4</f>
        <v>11</v>
      </c>
      <c r="C12" s="31">
        <f>Ratings!AO5</f>
        <v>0</v>
      </c>
      <c r="D12" s="31">
        <f>Ratings!AO6</f>
        <v>0</v>
      </c>
      <c r="E12" s="31">
        <f xml:space="preserve"> Ratings!AO7</f>
        <v>11</v>
      </c>
      <c r="F12" s="31">
        <f xml:space="preserve"> Ratings!AO8</f>
        <v>8</v>
      </c>
      <c r="G12" s="31">
        <f>Ratings!AO9</f>
        <v>8</v>
      </c>
      <c r="H12" s="31">
        <f>Ratings!AO10</f>
        <v>0</v>
      </c>
      <c r="I12" s="31">
        <f>Ratings!AO11</f>
        <v>8</v>
      </c>
      <c r="J12" s="61">
        <f t="shared" si="0"/>
        <v>46</v>
      </c>
    </row>
    <row r="13" spans="1:10" x14ac:dyDescent="0.25">
      <c r="A13" s="60" t="s">
        <v>276</v>
      </c>
      <c r="B13" s="63">
        <f xml:space="preserve"> Ratings!AQ4</f>
        <v>1</v>
      </c>
      <c r="C13" s="31">
        <f xml:space="preserve"> Ratings!AQ5</f>
        <v>0</v>
      </c>
      <c r="D13" s="31">
        <f xml:space="preserve"> Ratings!AQ6</f>
        <v>1</v>
      </c>
      <c r="E13" s="31">
        <f xml:space="preserve"> Ratings!AQ7</f>
        <v>2</v>
      </c>
      <c r="F13" s="31">
        <f xml:space="preserve"> Ratings!AQ8</f>
        <v>0</v>
      </c>
      <c r="G13" s="63">
        <f>Ratings!AQ9</f>
        <v>1</v>
      </c>
      <c r="H13" s="31">
        <f>Ratings!AQ10</f>
        <v>0</v>
      </c>
      <c r="I13" s="31">
        <f>Ratings!AQ11</f>
        <v>1</v>
      </c>
      <c r="J13" s="61">
        <f>SUM(B13:I13)</f>
        <v>6</v>
      </c>
    </row>
    <row r="14" spans="1:10" x14ac:dyDescent="0.25">
      <c r="A14" s="60" t="s">
        <v>277</v>
      </c>
      <c r="B14" s="167">
        <f>Ratings!$AU$4</f>
        <v>11</v>
      </c>
      <c r="C14" s="167">
        <f>Ratings!$AU$4</f>
        <v>11</v>
      </c>
      <c r="D14" s="167">
        <f>Ratings!$AU$4</f>
        <v>11</v>
      </c>
      <c r="E14" s="167">
        <f>Ratings!$AU$4</f>
        <v>11</v>
      </c>
      <c r="F14" s="167">
        <f>Ratings!$AU$4</f>
        <v>11</v>
      </c>
      <c r="G14" s="167">
        <f>Ratings!$AU$4</f>
        <v>11</v>
      </c>
      <c r="H14" s="167">
        <f>Ratings!$AU$4</f>
        <v>11</v>
      </c>
      <c r="I14" s="167">
        <f>Ratings!$AU$4</f>
        <v>11</v>
      </c>
      <c r="J14" s="61">
        <f>SUM(B14:I14)/8</f>
        <v>11</v>
      </c>
    </row>
    <row r="15" spans="1:10" x14ac:dyDescent="0.25">
      <c r="A15" s="60" t="s">
        <v>278</v>
      </c>
      <c r="B15" s="31">
        <f xml:space="preserve"> Ratings!AY4</f>
        <v>11</v>
      </c>
      <c r="C15" s="31">
        <f xml:space="preserve"> Ratings!AY5</f>
        <v>2</v>
      </c>
      <c r="D15" s="31">
        <f xml:space="preserve"> Ratings!AY6</f>
        <v>12</v>
      </c>
      <c r="E15" s="31">
        <f xml:space="preserve"> Ratings!AY7</f>
        <v>14</v>
      </c>
      <c r="F15" s="31">
        <f xml:space="preserve"> Ratings!AY8</f>
        <v>4</v>
      </c>
      <c r="G15" s="31">
        <f>Ratings!AY9</f>
        <v>7</v>
      </c>
      <c r="H15" s="31">
        <f>Ratings!AY10</f>
        <v>12</v>
      </c>
      <c r="I15" s="31">
        <f>Ratings!AY11</f>
        <v>9</v>
      </c>
      <c r="J15" s="61">
        <f t="shared" si="0"/>
        <v>71</v>
      </c>
    </row>
    <row r="16" spans="1:10" x14ac:dyDescent="0.25">
      <c r="A16" s="60" t="s">
        <v>249</v>
      </c>
      <c r="B16" s="31">
        <f xml:space="preserve"> Ratings!BA4</f>
        <v>0</v>
      </c>
      <c r="C16" s="31">
        <f xml:space="preserve"> Ratings!BA5</f>
        <v>0</v>
      </c>
      <c r="D16" s="31">
        <f xml:space="preserve"> Ratings!BA6</f>
        <v>0</v>
      </c>
      <c r="E16" s="31">
        <f xml:space="preserve"> Ratings!BA7</f>
        <v>0</v>
      </c>
      <c r="F16" s="31">
        <f xml:space="preserve"> Ratings!BA8</f>
        <v>0</v>
      </c>
      <c r="G16" s="31">
        <f>Ratings!BA9</f>
        <v>0</v>
      </c>
      <c r="H16" s="31">
        <f>Ratings!BA10</f>
        <v>0</v>
      </c>
      <c r="I16" s="31">
        <f>Ratings!BA11</f>
        <v>0</v>
      </c>
      <c r="J16" s="61">
        <f t="shared" si="0"/>
        <v>0</v>
      </c>
    </row>
    <row r="17" spans="1:10" x14ac:dyDescent="0.25">
      <c r="A17" s="60" t="s">
        <v>136</v>
      </c>
      <c r="B17" s="31">
        <f xml:space="preserve"> Ratings!BC4</f>
        <v>11</v>
      </c>
      <c r="C17" s="31">
        <f xml:space="preserve"> Ratings!BC5</f>
        <v>11</v>
      </c>
      <c r="D17" s="31">
        <f xml:space="preserve"> Ratings!BC6</f>
        <v>11</v>
      </c>
      <c r="E17" s="31">
        <f xml:space="preserve"> Ratings!BC7</f>
        <v>11</v>
      </c>
      <c r="F17" s="31">
        <f xml:space="preserve"> Ratings!BC8</f>
        <v>0</v>
      </c>
      <c r="G17" s="31">
        <f>Ratings!BC9</f>
        <v>11</v>
      </c>
      <c r="H17" s="31">
        <f>Ratings!BC10</f>
        <v>11</v>
      </c>
      <c r="I17" s="31">
        <f>Ratings!BC11</f>
        <v>11</v>
      </c>
      <c r="J17" s="61">
        <f t="shared" si="0"/>
        <v>77</v>
      </c>
    </row>
    <row r="18" spans="1:10" x14ac:dyDescent="0.25">
      <c r="A18" s="60" t="s">
        <v>279</v>
      </c>
      <c r="B18" s="31">
        <f xml:space="preserve"> Ratings!BG4</f>
        <v>4</v>
      </c>
      <c r="C18" s="31">
        <f xml:space="preserve"> Ratings!BG5</f>
        <v>0</v>
      </c>
      <c r="D18" s="31">
        <f xml:space="preserve"> Ratings!BG6</f>
        <v>11</v>
      </c>
      <c r="E18" s="31">
        <f xml:space="preserve"> Ratings!BG7</f>
        <v>4</v>
      </c>
      <c r="F18" s="31">
        <f xml:space="preserve"> Ratings!BG8</f>
        <v>4</v>
      </c>
      <c r="G18" s="31">
        <f>Ratings!BG9</f>
        <v>7</v>
      </c>
      <c r="H18" s="31">
        <f>Ratings!BG10</f>
        <v>12</v>
      </c>
      <c r="I18" s="31">
        <f>Ratings!BG11</f>
        <v>3</v>
      </c>
      <c r="J18" s="61">
        <f t="shared" si="0"/>
        <v>45</v>
      </c>
    </row>
    <row r="19" spans="1:10" x14ac:dyDescent="0.25">
      <c r="A19" s="60" t="s">
        <v>280</v>
      </c>
      <c r="B19" s="31">
        <f>Ratings!BK4</f>
        <v>6</v>
      </c>
      <c r="C19" s="31">
        <f xml:space="preserve"> Ratings!BK5</f>
        <v>0</v>
      </c>
      <c r="D19" s="31">
        <f xml:space="preserve"> Ratings!BK6</f>
        <v>9</v>
      </c>
      <c r="E19" s="31">
        <f xml:space="preserve"> Ratings!BK7</f>
        <v>5</v>
      </c>
      <c r="F19" s="31">
        <f xml:space="preserve"> Ratings!BK8</f>
        <v>0</v>
      </c>
      <c r="G19" s="31">
        <f>Ratings!BK9</f>
        <v>6</v>
      </c>
      <c r="H19" s="31">
        <f>Ratings!BK10</f>
        <v>8</v>
      </c>
      <c r="I19" s="31">
        <f>Ratings!BK11</f>
        <v>3</v>
      </c>
      <c r="J19" s="61">
        <f t="shared" si="0"/>
        <v>37</v>
      </c>
    </row>
    <row r="20" spans="1:10" x14ac:dyDescent="0.25">
      <c r="A20" s="30"/>
      <c r="B20" s="31"/>
      <c r="C20" s="31"/>
      <c r="D20" s="31"/>
      <c r="E20" s="31"/>
      <c r="F20" s="31"/>
      <c r="G20" s="31"/>
      <c r="H20" s="31"/>
      <c r="I20" s="31"/>
      <c r="J20" s="31"/>
    </row>
    <row r="21" spans="1:10" ht="18.75" x14ac:dyDescent="0.25">
      <c r="A21" s="32" t="s">
        <v>281</v>
      </c>
      <c r="B21" s="6">
        <f t="shared" ref="B21:I21" si="1">SUM(B3:B19)-B14</f>
        <v>116</v>
      </c>
      <c r="C21" s="6">
        <f t="shared" si="1"/>
        <v>58</v>
      </c>
      <c r="D21" s="6">
        <f t="shared" si="1"/>
        <v>143</v>
      </c>
      <c r="E21" s="6">
        <f t="shared" si="1"/>
        <v>128</v>
      </c>
      <c r="F21" s="6">
        <f t="shared" si="1"/>
        <v>71</v>
      </c>
      <c r="G21" s="6">
        <f t="shared" si="1"/>
        <v>118</v>
      </c>
      <c r="H21" s="6">
        <f t="shared" si="1"/>
        <v>134</v>
      </c>
      <c r="I21" s="6">
        <f t="shared" si="1"/>
        <v>113</v>
      </c>
      <c r="J21" s="64">
        <f>SUM(J3:J19)/8</f>
        <v>111.5</v>
      </c>
    </row>
    <row r="22" spans="1:10" ht="18.75" x14ac:dyDescent="0.25">
      <c r="A22" s="32" t="s">
        <v>282</v>
      </c>
      <c r="B22" s="6">
        <f>Ratings!D4</f>
        <v>69</v>
      </c>
      <c r="C22" s="6">
        <f>Ratings!D5</f>
        <v>104</v>
      </c>
      <c r="D22" s="6">
        <f>Ratings!D6</f>
        <v>29</v>
      </c>
      <c r="E22" s="6">
        <f>Ratings!D7</f>
        <v>49</v>
      </c>
      <c r="F22" s="6">
        <f>Ratings!D8</f>
        <v>100</v>
      </c>
      <c r="G22" s="6">
        <f>Ratings!D9</f>
        <v>65</v>
      </c>
      <c r="H22" s="6">
        <f>Ratings!D10</f>
        <v>40</v>
      </c>
      <c r="I22" s="6">
        <f>Ratings!D11</f>
        <v>72</v>
      </c>
      <c r="J22" s="64" t="s">
        <v>0</v>
      </c>
    </row>
  </sheetData>
  <pageMargins left="0.45" right="0.2" top="0.25" bottom="0.25" header="0.3" footer="0.3"/>
  <pageSetup orientation="landscape" r:id="rId1"/>
  <ignoredErrors>
    <ignoredError sqref="B9 C9:I9 B11:C11 D11:I11 B16:I16 I17 B19:I19" emptyCellReferenc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390FAC-0546-4116-9879-02498066CF0C}">
  <sheetPr>
    <tabColor theme="4" tint="-0.249977111117893"/>
  </sheetPr>
  <dimension ref="A1:K22"/>
  <sheetViews>
    <sheetView workbookViewId="0">
      <selection activeCell="K14" sqref="K14"/>
    </sheetView>
  </sheetViews>
  <sheetFormatPr defaultRowHeight="15" x14ac:dyDescent="0.25"/>
  <cols>
    <col min="1" max="1" width="24" customWidth="1"/>
    <col min="2" max="10" width="8.7109375" customWidth="1"/>
    <col min="11" max="11" width="15.28515625" customWidth="1"/>
  </cols>
  <sheetData>
    <row r="1" spans="1:11" ht="18.75" x14ac:dyDescent="0.4">
      <c r="A1" s="58" t="s">
        <v>267</v>
      </c>
      <c r="B1" s="59">
        <v>74</v>
      </c>
      <c r="C1" s="59">
        <v>76</v>
      </c>
      <c r="D1" s="59">
        <v>131</v>
      </c>
      <c r="E1" s="59">
        <v>185</v>
      </c>
      <c r="F1" s="59">
        <v>223</v>
      </c>
      <c r="G1" s="59">
        <v>349</v>
      </c>
      <c r="H1" s="59">
        <v>480</v>
      </c>
      <c r="I1" s="59">
        <v>488</v>
      </c>
      <c r="J1" s="59">
        <v>681</v>
      </c>
      <c r="K1" s="58" t="s">
        <v>107</v>
      </c>
    </row>
    <row r="2" spans="1:11" ht="18.75" x14ac:dyDescent="0.25">
      <c r="A2" s="32" t="s">
        <v>268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x14ac:dyDescent="0.25">
      <c r="A3" s="60" t="s">
        <v>269</v>
      </c>
      <c r="B3" s="31">
        <f xml:space="preserve"> Ratings!H15</f>
        <v>11</v>
      </c>
      <c r="C3" s="31">
        <f xml:space="preserve"> Ratings!H16</f>
        <v>11</v>
      </c>
      <c r="D3" s="31">
        <f xml:space="preserve"> Ratings!H17</f>
        <v>11</v>
      </c>
      <c r="E3" s="31">
        <f xml:space="preserve"> Ratings!H18</f>
        <v>11</v>
      </c>
      <c r="F3" s="31">
        <f xml:space="preserve"> Ratings!H19</f>
        <v>1</v>
      </c>
      <c r="G3" s="31">
        <f xml:space="preserve"> Ratings!H20</f>
        <v>0</v>
      </c>
      <c r="H3" s="31">
        <f xml:space="preserve"> Ratings!H21</f>
        <v>0</v>
      </c>
      <c r="I3" s="31">
        <f xml:space="preserve"> Ratings!H22</f>
        <v>4</v>
      </c>
      <c r="J3" s="31">
        <f xml:space="preserve"> Ratings!H23</f>
        <v>0</v>
      </c>
      <c r="K3" s="61">
        <f t="shared" ref="K3:K12" si="0">SUM(B3:J3)</f>
        <v>49</v>
      </c>
    </row>
    <row r="4" spans="1:11" x14ac:dyDescent="0.25">
      <c r="A4" s="60" t="s">
        <v>133</v>
      </c>
      <c r="B4" s="31">
        <f>Ratings!J15</f>
        <v>9</v>
      </c>
      <c r="C4" s="31">
        <f xml:space="preserve"> Ratings!J16</f>
        <v>8</v>
      </c>
      <c r="D4" s="31">
        <f xml:space="preserve"> Ratings!J17</f>
        <v>10</v>
      </c>
      <c r="E4" s="31">
        <f xml:space="preserve"> Ratings!J18</f>
        <v>11</v>
      </c>
      <c r="F4" s="31">
        <f xml:space="preserve"> Ratings!J19</f>
        <v>9</v>
      </c>
      <c r="G4" s="31">
        <f xml:space="preserve"> Ratings!J20</f>
        <v>9</v>
      </c>
      <c r="H4" s="31">
        <f xml:space="preserve"> Ratings!J21</f>
        <v>9</v>
      </c>
      <c r="I4" s="31">
        <f xml:space="preserve"> Ratings!J22</f>
        <v>9</v>
      </c>
      <c r="J4" s="31">
        <f xml:space="preserve"> Ratings!J23</f>
        <v>10</v>
      </c>
      <c r="K4" s="61">
        <f t="shared" si="0"/>
        <v>84</v>
      </c>
    </row>
    <row r="5" spans="1:11" x14ac:dyDescent="0.25">
      <c r="A5" s="60" t="s">
        <v>270</v>
      </c>
      <c r="B5" s="31">
        <f xml:space="preserve"> Ratings!O15</f>
        <v>9</v>
      </c>
      <c r="C5" s="31">
        <f xml:space="preserve"> Ratings!O16</f>
        <v>11</v>
      </c>
      <c r="D5" s="31">
        <f xml:space="preserve"> Ratings!O17</f>
        <v>4</v>
      </c>
      <c r="E5" s="31">
        <f xml:space="preserve"> Ratings!O18</f>
        <v>7</v>
      </c>
      <c r="F5" s="31">
        <f xml:space="preserve"> Ratings!O19</f>
        <v>11</v>
      </c>
      <c r="G5" s="31">
        <f xml:space="preserve"> Ratings!O20</f>
        <v>5</v>
      </c>
      <c r="H5" s="31">
        <f xml:space="preserve"> Ratings!O21</f>
        <v>5</v>
      </c>
      <c r="I5" s="31">
        <f xml:space="preserve"> Ratings!O22</f>
        <v>11</v>
      </c>
      <c r="J5" s="31">
        <f xml:space="preserve"> Ratings!O23</f>
        <v>11</v>
      </c>
      <c r="K5" s="61">
        <f t="shared" si="0"/>
        <v>74</v>
      </c>
    </row>
    <row r="6" spans="1:11" x14ac:dyDescent="0.25">
      <c r="A6" s="62" t="s">
        <v>271</v>
      </c>
      <c r="B6" s="31">
        <f xml:space="preserve"> Ratings!Q15</f>
        <v>9</v>
      </c>
      <c r="C6" s="31">
        <f xml:space="preserve"> Ratings!Q16</f>
        <v>8</v>
      </c>
      <c r="D6" s="31">
        <f xml:space="preserve"> Ratings!Q17</f>
        <v>8</v>
      </c>
      <c r="E6" s="31">
        <f xml:space="preserve"> Ratings!Q18</f>
        <v>4</v>
      </c>
      <c r="F6" s="31">
        <f xml:space="preserve"> Ratings!Q19</f>
        <v>10</v>
      </c>
      <c r="G6" s="31">
        <f xml:space="preserve"> Ratings!Q20</f>
        <v>8</v>
      </c>
      <c r="H6" s="31">
        <f xml:space="preserve"> Ratings!Q21</f>
        <v>6</v>
      </c>
      <c r="I6" s="31">
        <f xml:space="preserve">  Ratings!Q22</f>
        <v>6</v>
      </c>
      <c r="J6" s="63">
        <f xml:space="preserve"> Ratings!Q23</f>
        <v>4</v>
      </c>
      <c r="K6" s="61">
        <f t="shared" si="0"/>
        <v>63</v>
      </c>
    </row>
    <row r="7" spans="1:11" x14ac:dyDescent="0.25">
      <c r="A7" s="60" t="s">
        <v>272</v>
      </c>
      <c r="B7" s="31">
        <f xml:space="preserve"> Ratings!V15</f>
        <v>11</v>
      </c>
      <c r="C7" s="31">
        <f>Ratings!V16</f>
        <v>9</v>
      </c>
      <c r="D7" s="31">
        <f xml:space="preserve"> Ratings!V17</f>
        <v>9</v>
      </c>
      <c r="E7" s="31">
        <f xml:space="preserve"> Ratings!V18</f>
        <v>11</v>
      </c>
      <c r="F7" s="31">
        <f xml:space="preserve"> Ratings!V19</f>
        <v>11</v>
      </c>
      <c r="G7" s="31">
        <f xml:space="preserve"> Ratings!V20</f>
        <v>11</v>
      </c>
      <c r="H7" s="31">
        <f xml:space="preserve"> Ratings!V21</f>
        <v>11</v>
      </c>
      <c r="I7" s="31">
        <f xml:space="preserve"> Ratings!V22</f>
        <v>0</v>
      </c>
      <c r="J7" s="31">
        <f xml:space="preserve"> Ratings!V23</f>
        <v>2</v>
      </c>
      <c r="K7" s="61">
        <f t="shared" si="0"/>
        <v>75</v>
      </c>
    </row>
    <row r="8" spans="1:11" x14ac:dyDescent="0.25">
      <c r="A8" s="60" t="s">
        <v>203</v>
      </c>
      <c r="B8" s="31">
        <f xml:space="preserve"> Ratings!Z15</f>
        <v>11</v>
      </c>
      <c r="C8" s="31">
        <f xml:space="preserve"> Ratings!Z16</f>
        <v>0</v>
      </c>
      <c r="D8" s="31">
        <f xml:space="preserve"> Ratings!Z17</f>
        <v>9</v>
      </c>
      <c r="E8" s="31">
        <f xml:space="preserve"> Ratings!Z18</f>
        <v>0</v>
      </c>
      <c r="F8" s="31">
        <f xml:space="preserve"> Ratings!Z19</f>
        <v>11</v>
      </c>
      <c r="G8" s="31">
        <f xml:space="preserve"> Ratings!Z20</f>
        <v>10</v>
      </c>
      <c r="H8" s="31">
        <f xml:space="preserve"> Ratings!Z21</f>
        <v>11</v>
      </c>
      <c r="I8" s="31">
        <f xml:space="preserve"> Ratings!Z22</f>
        <v>0</v>
      </c>
      <c r="J8" s="31">
        <f xml:space="preserve"> Ratings!Z23</f>
        <v>0</v>
      </c>
      <c r="K8" s="61">
        <f t="shared" si="0"/>
        <v>52</v>
      </c>
    </row>
    <row r="9" spans="1:11" x14ac:dyDescent="0.25">
      <c r="A9" s="60" t="s">
        <v>273</v>
      </c>
      <c r="B9" s="31">
        <f>Ratings!AI15</f>
        <v>18</v>
      </c>
      <c r="C9" s="31">
        <f>Ratings!AI16</f>
        <v>18</v>
      </c>
      <c r="D9" s="31">
        <f>Ratings!AI17</f>
        <v>12</v>
      </c>
      <c r="E9" s="31">
        <f>Ratings!AI18</f>
        <v>12</v>
      </c>
      <c r="F9" s="31">
        <f>Ratings!AI19</f>
        <v>22</v>
      </c>
      <c r="G9" s="31">
        <f>Ratings!AI20</f>
        <v>22</v>
      </c>
      <c r="H9" s="31">
        <f>Ratings!AI21</f>
        <v>22</v>
      </c>
      <c r="I9" s="31">
        <f>Ratings!AI22</f>
        <v>14</v>
      </c>
      <c r="J9" s="31">
        <f>Ratings!AI23</f>
        <v>14</v>
      </c>
      <c r="K9" s="61">
        <f t="shared" si="0"/>
        <v>154</v>
      </c>
    </row>
    <row r="10" spans="1:11" x14ac:dyDescent="0.25">
      <c r="A10" s="60" t="s">
        <v>274</v>
      </c>
      <c r="B10" s="31">
        <f>Ratings!AK15</f>
        <v>11</v>
      </c>
      <c r="C10" s="31">
        <f>Ratings!AK16</f>
        <v>4</v>
      </c>
      <c r="D10" s="31">
        <f>Ratings!AK17</f>
        <v>7</v>
      </c>
      <c r="E10" s="31">
        <f>Ratings!AK18</f>
        <v>6</v>
      </c>
      <c r="F10" s="31">
        <f>Ratings!AK19</f>
        <v>7</v>
      </c>
      <c r="G10" s="31">
        <f>Ratings!AK20</f>
        <v>7</v>
      </c>
      <c r="H10" s="31">
        <f>Ratings!AK21</f>
        <v>7</v>
      </c>
      <c r="I10" s="31">
        <f>Ratings!AK22</f>
        <v>4</v>
      </c>
      <c r="J10" s="31">
        <f>Ratings!AK23</f>
        <v>6</v>
      </c>
      <c r="K10" s="61">
        <f t="shared" si="0"/>
        <v>59</v>
      </c>
    </row>
    <row r="11" spans="1:11" x14ac:dyDescent="0.25">
      <c r="A11" s="60" t="s">
        <v>275</v>
      </c>
      <c r="B11" s="31">
        <f>Ratings!AM15</f>
        <v>10</v>
      </c>
      <c r="C11" s="31">
        <f>Ratings!AM16</f>
        <v>0</v>
      </c>
      <c r="D11" s="31">
        <f>Ratings!AM17</f>
        <v>10</v>
      </c>
      <c r="E11" s="31">
        <f>Ratings!AM18</f>
        <v>8</v>
      </c>
      <c r="F11" s="31">
        <f>Ratings!AM19</f>
        <v>9</v>
      </c>
      <c r="G11" s="31">
        <f>Ratings!AM20</f>
        <v>9</v>
      </c>
      <c r="H11" s="31">
        <f>Ratings!AM21</f>
        <v>9</v>
      </c>
      <c r="I11" s="31">
        <f>Ratings!AM22</f>
        <v>0</v>
      </c>
      <c r="J11" s="31">
        <f>Ratings!AM23</f>
        <v>9</v>
      </c>
      <c r="K11" s="61">
        <f t="shared" si="0"/>
        <v>64</v>
      </c>
    </row>
    <row r="12" spans="1:11" x14ac:dyDescent="0.25">
      <c r="A12" s="60" t="s">
        <v>139</v>
      </c>
      <c r="B12" s="31">
        <f>Ratings!AO15</f>
        <v>11</v>
      </c>
      <c r="C12" s="31">
        <f>Ratings!AO16</f>
        <v>8</v>
      </c>
      <c r="D12" s="31">
        <f>Ratings!AO17</f>
        <v>11</v>
      </c>
      <c r="E12" s="31">
        <f>Ratings!AO18</f>
        <v>8</v>
      </c>
      <c r="F12" s="31">
        <f>Ratings!AO19</f>
        <v>11</v>
      </c>
      <c r="G12" s="31">
        <f>Ratings!AO20</f>
        <v>11</v>
      </c>
      <c r="H12" s="31">
        <f>Ratings!AO21</f>
        <v>11</v>
      </c>
      <c r="I12" s="31">
        <f>Ratings!AO22</f>
        <v>0</v>
      </c>
      <c r="J12" s="31">
        <f>Ratings!AO23</f>
        <v>8</v>
      </c>
      <c r="K12" s="61">
        <f t="shared" si="0"/>
        <v>79</v>
      </c>
    </row>
    <row r="13" spans="1:11" x14ac:dyDescent="0.25">
      <c r="A13" s="60" t="s">
        <v>276</v>
      </c>
      <c r="B13" s="31">
        <f>Ratings!AQ15</f>
        <v>4</v>
      </c>
      <c r="C13" s="31">
        <f>Ratings!AQ16</f>
        <v>1</v>
      </c>
      <c r="D13" s="31">
        <f>Ratings!AQ17</f>
        <v>0</v>
      </c>
      <c r="E13" s="31">
        <f>Ratings!AQ18</f>
        <v>2</v>
      </c>
      <c r="F13" s="31">
        <f>Ratings!AQ19</f>
        <v>2</v>
      </c>
      <c r="G13" s="31">
        <f>Ratings!AQ20</f>
        <v>4</v>
      </c>
      <c r="H13" s="31">
        <f>Ratings!AQ21</f>
        <v>4</v>
      </c>
      <c r="I13" s="31">
        <f>Ratings!AQ22</f>
        <v>0</v>
      </c>
      <c r="J13" s="31">
        <f>Ratings!AQ23</f>
        <v>1</v>
      </c>
      <c r="K13" s="61">
        <f>SUM(B13:J13)</f>
        <v>18</v>
      </c>
    </row>
    <row r="14" spans="1:11" x14ac:dyDescent="0.25">
      <c r="A14" s="60" t="s">
        <v>277</v>
      </c>
      <c r="B14" s="167">
        <f>Ratings!$AU$15</f>
        <v>9</v>
      </c>
      <c r="C14" s="167">
        <f>Ratings!$AU$15</f>
        <v>9</v>
      </c>
      <c r="D14" s="167">
        <f>Ratings!$AU$15</f>
        <v>9</v>
      </c>
      <c r="E14" s="167">
        <f>Ratings!$AU$15</f>
        <v>9</v>
      </c>
      <c r="F14" s="167">
        <f>Ratings!$AU$15</f>
        <v>9</v>
      </c>
      <c r="G14" s="167">
        <f>Ratings!$AU$15</f>
        <v>9</v>
      </c>
      <c r="H14" s="167">
        <f>Ratings!$AU$15</f>
        <v>9</v>
      </c>
      <c r="I14" s="167">
        <f>Ratings!$AU$15</f>
        <v>9</v>
      </c>
      <c r="J14" s="167">
        <f>Ratings!$AU$15</f>
        <v>9</v>
      </c>
      <c r="K14" s="61">
        <f>SUM(B14:J14)/9</f>
        <v>9</v>
      </c>
    </row>
    <row r="15" spans="1:11" x14ac:dyDescent="0.25">
      <c r="A15" s="60" t="s">
        <v>278</v>
      </c>
      <c r="B15" s="31">
        <f>Ratings!AY15</f>
        <v>15</v>
      </c>
      <c r="C15" s="31">
        <f>Ratings!AY16</f>
        <v>9</v>
      </c>
      <c r="D15" s="31">
        <f>Ratings!AY17</f>
        <v>5</v>
      </c>
      <c r="E15" s="31">
        <f>Ratings!AY18</f>
        <v>5</v>
      </c>
      <c r="F15" s="31">
        <f>Ratings!AY19</f>
        <v>13</v>
      </c>
      <c r="G15" s="31">
        <f>Ratings!AY20</f>
        <v>14</v>
      </c>
      <c r="H15" s="31">
        <f>Ratings!AY21</f>
        <v>12</v>
      </c>
      <c r="I15" s="31">
        <f>Ratings!AY22</f>
        <v>3</v>
      </c>
      <c r="J15" s="31">
        <f>Ratings!AY23</f>
        <v>14</v>
      </c>
      <c r="K15" s="61">
        <f t="shared" ref="K15:K19" si="1">SUM(B15:J15)</f>
        <v>90</v>
      </c>
    </row>
    <row r="16" spans="1:11" x14ac:dyDescent="0.25">
      <c r="A16" s="60" t="s">
        <v>249</v>
      </c>
      <c r="B16" s="31">
        <f>Ratings!BA15</f>
        <v>0</v>
      </c>
      <c r="C16" s="31">
        <f>Ratings!BA16</f>
        <v>0</v>
      </c>
      <c r="D16" s="31">
        <f>Ratings!BA17</f>
        <v>0</v>
      </c>
      <c r="E16" s="31">
        <f>Ratings!BA18</f>
        <v>0</v>
      </c>
      <c r="F16" s="31">
        <f>Ratings!BA27</f>
        <v>0</v>
      </c>
      <c r="G16" s="31">
        <f>Ratings!BA20</f>
        <v>11</v>
      </c>
      <c r="H16" s="31">
        <f>Ratings!BA21</f>
        <v>0</v>
      </c>
      <c r="I16" s="31">
        <f>Ratings!BA22</f>
        <v>0</v>
      </c>
      <c r="J16" s="31">
        <f>Ratings!BA23</f>
        <v>0</v>
      </c>
      <c r="K16" s="61">
        <f t="shared" si="1"/>
        <v>11</v>
      </c>
    </row>
    <row r="17" spans="1:11" x14ac:dyDescent="0.25">
      <c r="A17" s="60" t="s">
        <v>136</v>
      </c>
      <c r="B17" s="31">
        <f>Ratings!BC15</f>
        <v>11</v>
      </c>
      <c r="C17" s="31">
        <f>Ratings!BC16</f>
        <v>11</v>
      </c>
      <c r="D17" s="31">
        <f>Ratings!BC17</f>
        <v>11</v>
      </c>
      <c r="E17" s="31">
        <f>Ratings!BC18</f>
        <v>11</v>
      </c>
      <c r="F17" s="31">
        <f>Ratings!BC19</f>
        <v>11</v>
      </c>
      <c r="G17" s="31">
        <f>Ratings!BC20</f>
        <v>11</v>
      </c>
      <c r="H17" s="31">
        <f>Ratings!BC21</f>
        <v>11</v>
      </c>
      <c r="I17" s="31">
        <f>Ratings!BC22</f>
        <v>11</v>
      </c>
      <c r="J17" s="31">
        <f>Ratings!BC23</f>
        <v>11</v>
      </c>
      <c r="K17" s="61">
        <f t="shared" si="1"/>
        <v>99</v>
      </c>
    </row>
    <row r="18" spans="1:11" x14ac:dyDescent="0.25">
      <c r="A18" s="60" t="s">
        <v>279</v>
      </c>
      <c r="B18" s="31">
        <f>Ratings!BG15</f>
        <v>11</v>
      </c>
      <c r="C18" s="31">
        <f>Ratings!BG16</f>
        <v>4</v>
      </c>
      <c r="D18" s="31">
        <f>Ratings!BG17</f>
        <v>5</v>
      </c>
      <c r="E18" s="31">
        <f>Ratings!BG18</f>
        <v>4</v>
      </c>
      <c r="F18" s="31">
        <f>Ratings!BG19</f>
        <v>12</v>
      </c>
      <c r="G18" s="31">
        <f>Ratings!BG20</f>
        <v>12</v>
      </c>
      <c r="H18" s="31">
        <f>Ratings!BG21</f>
        <v>8</v>
      </c>
      <c r="I18" s="31">
        <f>Ratings!BG22</f>
        <v>1</v>
      </c>
      <c r="J18" s="31">
        <f>Ratings!BG23</f>
        <v>8</v>
      </c>
      <c r="K18" s="61">
        <f t="shared" si="1"/>
        <v>65</v>
      </c>
    </row>
    <row r="19" spans="1:11" x14ac:dyDescent="0.25">
      <c r="A19" s="60" t="s">
        <v>280</v>
      </c>
      <c r="B19" s="31">
        <f>Ratings!BK15</f>
        <v>6</v>
      </c>
      <c r="C19" s="31">
        <f>Ratings!BK16</f>
        <v>6</v>
      </c>
      <c r="D19" s="31">
        <f>Ratings!BK17</f>
        <v>7</v>
      </c>
      <c r="E19" s="31">
        <f>Ratings!BK18</f>
        <v>3</v>
      </c>
      <c r="F19" s="31">
        <f>Ratings!BK19</f>
        <v>9</v>
      </c>
      <c r="G19" s="31">
        <f>Ratings!BK20</f>
        <v>9</v>
      </c>
      <c r="H19" s="31">
        <f>Ratings!BK21</f>
        <v>7</v>
      </c>
      <c r="I19" s="31">
        <f>Ratings!BK22</f>
        <v>0</v>
      </c>
      <c r="J19" s="31">
        <f>Ratings!BK23</f>
        <v>9</v>
      </c>
      <c r="K19" s="61">
        <f t="shared" si="1"/>
        <v>56</v>
      </c>
    </row>
    <row r="20" spans="1:11" x14ac:dyDescent="0.25">
      <c r="A20" s="30"/>
      <c r="B20" s="31"/>
      <c r="C20" s="31" t="s">
        <v>0</v>
      </c>
      <c r="D20" s="31"/>
      <c r="E20" s="31"/>
      <c r="F20" s="31"/>
      <c r="G20" s="31"/>
      <c r="H20" s="31"/>
      <c r="I20" s="31"/>
      <c r="J20" s="31"/>
      <c r="K20" s="31"/>
    </row>
    <row r="21" spans="1:11" ht="18.75" x14ac:dyDescent="0.25">
      <c r="A21" s="32" t="s">
        <v>281</v>
      </c>
      <c r="B21" s="6">
        <f t="shared" ref="B21:J21" si="2">SUM(B3:B19)-B14</f>
        <v>157</v>
      </c>
      <c r="C21" s="6">
        <f t="shared" si="2"/>
        <v>108</v>
      </c>
      <c r="D21" s="6">
        <f t="shared" si="2"/>
        <v>119</v>
      </c>
      <c r="E21" s="6">
        <f t="shared" si="2"/>
        <v>103</v>
      </c>
      <c r="F21" s="6">
        <f t="shared" si="2"/>
        <v>149</v>
      </c>
      <c r="G21" s="6">
        <f t="shared" si="2"/>
        <v>153</v>
      </c>
      <c r="H21" s="6">
        <f t="shared" si="2"/>
        <v>133</v>
      </c>
      <c r="I21" s="6">
        <f t="shared" si="2"/>
        <v>63</v>
      </c>
      <c r="J21" s="6">
        <f t="shared" si="2"/>
        <v>107</v>
      </c>
      <c r="K21" s="64">
        <f>SUM(K3:K19)/9</f>
        <v>122.33333333333333</v>
      </c>
    </row>
    <row r="22" spans="1:11" ht="18.75" x14ac:dyDescent="0.25">
      <c r="A22" s="32" t="s">
        <v>282</v>
      </c>
      <c r="B22" s="6">
        <f xml:space="preserve"> Ratings!D15</f>
        <v>14</v>
      </c>
      <c r="C22" s="6">
        <f xml:space="preserve"> Ratings!D16</f>
        <v>76</v>
      </c>
      <c r="D22" s="6">
        <f>Ratings!D17</f>
        <v>62</v>
      </c>
      <c r="E22" s="6">
        <f>Ratings!D18</f>
        <v>81</v>
      </c>
      <c r="F22" s="6">
        <f>Ratings!D19</f>
        <v>23</v>
      </c>
      <c r="G22" s="6">
        <f>Ratings!D20</f>
        <v>17</v>
      </c>
      <c r="H22" s="6">
        <f>Ratings!D21</f>
        <v>42</v>
      </c>
      <c r="I22" s="6">
        <f>Ratings!D22</f>
        <v>103</v>
      </c>
      <c r="J22" s="6">
        <f>Ratings!D23</f>
        <v>79</v>
      </c>
      <c r="K22" s="6"/>
    </row>
  </sheetData>
  <pageMargins left="0.45" right="0.2" top="0.25" bottom="0.25" header="0.3" footer="0.3"/>
  <pageSetup orientation="landscape" r:id="rId1"/>
  <ignoredErrors>
    <ignoredError sqref="B9:F9 D11:E11 H11:J11 D16:G16 J16 D19:G19 G9:J9 B11:C11 F11:G11 B16:C16 H16:I16 B19:C19 H19:J19" emptyCellReferenc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7B3F3-2B06-413D-B7A3-09D7B885EB98}">
  <sheetPr>
    <tabColor rgb="FFC00000"/>
  </sheetPr>
  <dimension ref="A1:L22"/>
  <sheetViews>
    <sheetView workbookViewId="0">
      <selection activeCell="L14" sqref="L14"/>
    </sheetView>
  </sheetViews>
  <sheetFormatPr defaultRowHeight="15" x14ac:dyDescent="0.25"/>
  <cols>
    <col min="1" max="1" width="22.42578125" customWidth="1"/>
    <col min="2" max="11" width="6.7109375" customWidth="1"/>
    <col min="12" max="12" width="15.28515625" customWidth="1"/>
  </cols>
  <sheetData>
    <row r="1" spans="1:12" ht="18.75" x14ac:dyDescent="0.4">
      <c r="A1" s="58" t="s">
        <v>267</v>
      </c>
      <c r="B1" s="59">
        <v>171</v>
      </c>
      <c r="C1" s="59">
        <v>181</v>
      </c>
      <c r="D1" s="59">
        <v>794</v>
      </c>
      <c r="E1" s="59">
        <v>866</v>
      </c>
      <c r="F1" s="59">
        <v>1133</v>
      </c>
      <c r="G1" s="59">
        <v>1173</v>
      </c>
      <c r="H1" s="59">
        <v>1207</v>
      </c>
      <c r="I1" s="59">
        <v>1229</v>
      </c>
      <c r="J1" s="59">
        <v>1276</v>
      </c>
      <c r="K1" s="59">
        <v>1336</v>
      </c>
      <c r="L1" s="58" t="s">
        <v>98</v>
      </c>
    </row>
    <row r="2" spans="1:12" ht="18.75" x14ac:dyDescent="0.25">
      <c r="A2" s="32" t="s">
        <v>268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pans="1:12" x14ac:dyDescent="0.25">
      <c r="A3" s="60" t="s">
        <v>269</v>
      </c>
      <c r="B3" s="31">
        <f xml:space="preserve"> Ratings!H27</f>
        <v>0</v>
      </c>
      <c r="C3" s="31">
        <f xml:space="preserve"> Ratings!H28</f>
        <v>9</v>
      </c>
      <c r="D3" s="31">
        <f>Ratings!H29</f>
        <v>11</v>
      </c>
      <c r="E3" s="31">
        <f xml:space="preserve"> Ratings!H30</f>
        <v>8</v>
      </c>
      <c r="F3" s="31">
        <f xml:space="preserve"> Ratings!H31</f>
        <v>11</v>
      </c>
      <c r="G3" s="31">
        <f xml:space="preserve"> Ratings!H32</f>
        <v>11</v>
      </c>
      <c r="H3" s="31">
        <f xml:space="preserve"> Ratings!H33</f>
        <v>11</v>
      </c>
      <c r="I3" s="31">
        <f xml:space="preserve"> Ratings!H34</f>
        <v>11</v>
      </c>
      <c r="J3" s="31">
        <f xml:space="preserve"> Ratings!H35</f>
        <v>0</v>
      </c>
      <c r="K3" s="31">
        <f xml:space="preserve"> Ratings!H36</f>
        <v>11</v>
      </c>
      <c r="L3" s="61">
        <f t="shared" ref="L3:L19" si="0">SUM(B3:K3)</f>
        <v>83</v>
      </c>
    </row>
    <row r="4" spans="1:12" x14ac:dyDescent="0.25">
      <c r="A4" s="60" t="s">
        <v>133</v>
      </c>
      <c r="B4" s="31">
        <f xml:space="preserve"> Ratings!J27</f>
        <v>9</v>
      </c>
      <c r="C4" s="31">
        <f xml:space="preserve"> Ratings!J28</f>
        <v>9</v>
      </c>
      <c r="D4" s="31">
        <f xml:space="preserve"> Ratings!J29</f>
        <v>10</v>
      </c>
      <c r="E4" s="31">
        <f xml:space="preserve"> Ratings!J30</f>
        <v>10</v>
      </c>
      <c r="F4" s="31">
        <f>Ratings!J31</f>
        <v>10</v>
      </c>
      <c r="G4" s="31">
        <f>Ratings!J32</f>
        <v>9</v>
      </c>
      <c r="H4" s="31">
        <f xml:space="preserve"> Ratings!J33</f>
        <v>9</v>
      </c>
      <c r="I4" s="31">
        <f xml:space="preserve"> Ratings!J34</f>
        <v>10</v>
      </c>
      <c r="J4" s="31">
        <f xml:space="preserve"> Ratings!J35</f>
        <v>10</v>
      </c>
      <c r="K4" s="31">
        <f xml:space="preserve"> Ratings!J36</f>
        <v>9</v>
      </c>
      <c r="L4" s="61">
        <f t="shared" si="0"/>
        <v>95</v>
      </c>
    </row>
    <row r="5" spans="1:12" x14ac:dyDescent="0.25">
      <c r="A5" s="60" t="s">
        <v>270</v>
      </c>
      <c r="B5" s="31">
        <f xml:space="preserve"> Ratings!O27</f>
        <v>5</v>
      </c>
      <c r="C5" s="31">
        <f xml:space="preserve"> Ratings!O28</f>
        <v>10</v>
      </c>
      <c r="D5" s="31">
        <f xml:space="preserve"> Ratings!O29</f>
        <v>11</v>
      </c>
      <c r="E5" s="31">
        <f xml:space="preserve"> Ratings!O30</f>
        <v>11</v>
      </c>
      <c r="F5" s="31">
        <f xml:space="preserve"> Ratings!O31</f>
        <v>11</v>
      </c>
      <c r="G5" s="31">
        <f xml:space="preserve"> Ratings!O32</f>
        <v>11</v>
      </c>
      <c r="H5" s="31">
        <f xml:space="preserve"> Ratings!O33</f>
        <v>5</v>
      </c>
      <c r="I5" s="31">
        <f xml:space="preserve"> Ratings!O34</f>
        <v>7</v>
      </c>
      <c r="J5" s="31">
        <f xml:space="preserve"> Ratings!O35</f>
        <v>11</v>
      </c>
      <c r="K5" s="31">
        <f xml:space="preserve"> Ratings!O36</f>
        <v>11</v>
      </c>
      <c r="L5" s="61">
        <f t="shared" si="0"/>
        <v>93</v>
      </c>
    </row>
    <row r="6" spans="1:12" x14ac:dyDescent="0.25">
      <c r="A6" s="62" t="s">
        <v>271</v>
      </c>
      <c r="B6" s="31">
        <f xml:space="preserve"> Ratings!Q27</f>
        <v>8</v>
      </c>
      <c r="C6" s="31">
        <f xml:space="preserve"> Ratings!Q28</f>
        <v>11</v>
      </c>
      <c r="D6" s="31">
        <f xml:space="preserve"> Ratings!Q29</f>
        <v>5</v>
      </c>
      <c r="E6" s="31">
        <f xml:space="preserve"> Ratings!Q30</f>
        <v>10</v>
      </c>
      <c r="F6" s="31">
        <f xml:space="preserve"> Ratings!Q31</f>
        <v>9</v>
      </c>
      <c r="G6" s="31">
        <f xml:space="preserve"> Ratings!Q32</f>
        <v>9</v>
      </c>
      <c r="H6" s="31">
        <f xml:space="preserve"> Ratings!Q33</f>
        <v>11</v>
      </c>
      <c r="I6" s="31">
        <f xml:space="preserve"> Ratings!Q34</f>
        <v>8</v>
      </c>
      <c r="J6" s="31">
        <f xml:space="preserve"> Ratings!Q35</f>
        <v>2</v>
      </c>
      <c r="K6" s="31">
        <f xml:space="preserve"> Ratings!Q36</f>
        <v>10</v>
      </c>
      <c r="L6" s="61">
        <f t="shared" si="0"/>
        <v>83</v>
      </c>
    </row>
    <row r="7" spans="1:12" x14ac:dyDescent="0.25">
      <c r="A7" s="60" t="s">
        <v>272</v>
      </c>
      <c r="B7" s="31">
        <f xml:space="preserve"> Ratings!V27</f>
        <v>0</v>
      </c>
      <c r="C7" s="31">
        <f xml:space="preserve"> Ratings!V28</f>
        <v>11</v>
      </c>
      <c r="D7" s="31">
        <f xml:space="preserve"> Ratings!V29</f>
        <v>11</v>
      </c>
      <c r="E7" s="31">
        <f xml:space="preserve"> Ratings!V30</f>
        <v>11</v>
      </c>
      <c r="F7" s="31">
        <f xml:space="preserve"> Ratings!V31</f>
        <v>11</v>
      </c>
      <c r="G7" s="31">
        <f xml:space="preserve"> Ratings!V32</f>
        <v>11</v>
      </c>
      <c r="H7" s="31">
        <f xml:space="preserve"> Ratings!V33</f>
        <v>9</v>
      </c>
      <c r="I7" s="31">
        <f xml:space="preserve"> Ratings!V34</f>
        <v>11</v>
      </c>
      <c r="J7" s="31">
        <f xml:space="preserve"> Ratings!V35</f>
        <v>11</v>
      </c>
      <c r="K7" s="31">
        <f xml:space="preserve"> Ratings!V36</f>
        <v>11</v>
      </c>
      <c r="L7" s="61">
        <f t="shared" si="0"/>
        <v>97</v>
      </c>
    </row>
    <row r="8" spans="1:12" x14ac:dyDescent="0.25">
      <c r="A8" s="60" t="s">
        <v>203</v>
      </c>
      <c r="B8" s="31">
        <f xml:space="preserve"> Ratings!Z27</f>
        <v>11</v>
      </c>
      <c r="C8" s="31">
        <f xml:space="preserve"> Ratings!Z28</f>
        <v>10</v>
      </c>
      <c r="D8" s="31">
        <f xml:space="preserve"> Ratings!Z29</f>
        <v>11</v>
      </c>
      <c r="E8" s="31">
        <f xml:space="preserve"> Ratings!Z30</f>
        <v>11</v>
      </c>
      <c r="F8" s="31">
        <f xml:space="preserve"> Ratings!Z31</f>
        <v>11</v>
      </c>
      <c r="G8" s="31">
        <f xml:space="preserve"> Ratings!Z32</f>
        <v>11</v>
      </c>
      <c r="H8" s="31">
        <f xml:space="preserve"> Ratings!Z33</f>
        <v>9</v>
      </c>
      <c r="I8" s="31">
        <f xml:space="preserve"> Ratings!Z34</f>
        <v>11</v>
      </c>
      <c r="J8" s="31">
        <f xml:space="preserve"> Ratings!Z35</f>
        <v>11</v>
      </c>
      <c r="K8" s="31">
        <f xml:space="preserve"> Ratings!Z36</f>
        <v>11</v>
      </c>
      <c r="L8" s="61">
        <f t="shared" si="0"/>
        <v>107</v>
      </c>
    </row>
    <row r="9" spans="1:12" x14ac:dyDescent="0.25">
      <c r="A9" s="60" t="s">
        <v>273</v>
      </c>
      <c r="B9" s="31">
        <f>Ratings!AI27</f>
        <v>12</v>
      </c>
      <c r="C9" s="31">
        <f>Ratings!AI28</f>
        <v>22</v>
      </c>
      <c r="D9" s="31">
        <f>Ratings!AI29</f>
        <v>20</v>
      </c>
      <c r="E9" s="31">
        <f>Ratings!AI30</f>
        <v>20</v>
      </c>
      <c r="F9" s="31">
        <f>Ratings!AI31</f>
        <v>16</v>
      </c>
      <c r="G9" s="31">
        <f>Ratings!AI32</f>
        <v>20</v>
      </c>
      <c r="H9" s="31">
        <f>Ratings!AI33</f>
        <v>16</v>
      </c>
      <c r="I9" s="31">
        <f>Ratings!AI34</f>
        <v>22</v>
      </c>
      <c r="J9" s="31">
        <f>Ratings!AI35</f>
        <v>20</v>
      </c>
      <c r="K9" s="31">
        <f>Ratings!AI36</f>
        <v>20</v>
      </c>
      <c r="L9" s="61">
        <f t="shared" si="0"/>
        <v>188</v>
      </c>
    </row>
    <row r="10" spans="1:12" x14ac:dyDescent="0.25">
      <c r="A10" s="60" t="s">
        <v>274</v>
      </c>
      <c r="B10" s="31">
        <f>Ratings!AK27</f>
        <v>3</v>
      </c>
      <c r="C10" s="31">
        <f>Ratings!AK28</f>
        <v>11</v>
      </c>
      <c r="D10" s="31">
        <f>Ratings!AK29</f>
        <v>5</v>
      </c>
      <c r="E10" s="31">
        <f>Ratings!AK30</f>
        <v>7</v>
      </c>
      <c r="F10" s="31">
        <f>Ratings!AK31</f>
        <v>5</v>
      </c>
      <c r="G10" s="31">
        <f>Ratings!AK32</f>
        <v>3</v>
      </c>
      <c r="H10" s="31">
        <f>Ratings!AK33</f>
        <v>5</v>
      </c>
      <c r="I10" s="31">
        <f>Ratings!AK34</f>
        <v>2</v>
      </c>
      <c r="J10" s="31">
        <f>Ratings!AK35</f>
        <v>11</v>
      </c>
      <c r="K10" s="31">
        <f>Ratings!AK36</f>
        <v>7</v>
      </c>
      <c r="L10" s="61">
        <f t="shared" si="0"/>
        <v>59</v>
      </c>
    </row>
    <row r="11" spans="1:12" x14ac:dyDescent="0.25">
      <c r="A11" s="60" t="s">
        <v>275</v>
      </c>
      <c r="B11" s="31">
        <f>Ratings!AM27</f>
        <v>9</v>
      </c>
      <c r="C11" s="31">
        <f>Ratings!AM28</f>
        <v>10</v>
      </c>
      <c r="D11" s="31">
        <f>Ratings!AM29</f>
        <v>8</v>
      </c>
      <c r="E11" s="31">
        <f>Ratings!AM30</f>
        <v>9</v>
      </c>
      <c r="F11" s="31">
        <f>Ratings!AM31</f>
        <v>11</v>
      </c>
      <c r="G11" s="31">
        <f>Ratings!AM32</f>
        <v>9</v>
      </c>
      <c r="H11" s="31">
        <f>Ratings!AM33</f>
        <v>9</v>
      </c>
      <c r="I11" s="31">
        <f>Ratings!AM34</f>
        <v>9</v>
      </c>
      <c r="J11" s="31">
        <f>Ratings!AM35</f>
        <v>9</v>
      </c>
      <c r="K11" s="31">
        <f>Ratings!AM36</f>
        <v>11</v>
      </c>
      <c r="L11" s="61">
        <f t="shared" si="0"/>
        <v>94</v>
      </c>
    </row>
    <row r="12" spans="1:12" x14ac:dyDescent="0.25">
      <c r="A12" s="60" t="s">
        <v>139</v>
      </c>
      <c r="B12" s="31">
        <f>Ratings!AO27</f>
        <v>11</v>
      </c>
      <c r="C12" s="31">
        <f>Ratings!AO28</f>
        <v>11</v>
      </c>
      <c r="D12" s="31">
        <f>Ratings!AO29</f>
        <v>8</v>
      </c>
      <c r="E12" s="31">
        <f>Ratings!AO30</f>
        <v>11</v>
      </c>
      <c r="F12" s="31">
        <f>Ratings!AO31</f>
        <v>11</v>
      </c>
      <c r="G12" s="31">
        <f>Ratings!AO32</f>
        <v>11</v>
      </c>
      <c r="H12" s="31">
        <f>Ratings!AO33</f>
        <v>8</v>
      </c>
      <c r="I12" s="31">
        <f>Ratings!AO34</f>
        <v>11</v>
      </c>
      <c r="J12" s="31">
        <f>Ratings!AO35</f>
        <v>8</v>
      </c>
      <c r="K12" s="31">
        <f>Ratings!AO36</f>
        <v>11</v>
      </c>
      <c r="L12" s="61">
        <f t="shared" si="0"/>
        <v>101</v>
      </c>
    </row>
    <row r="13" spans="1:12" x14ac:dyDescent="0.25">
      <c r="A13" s="60" t="s">
        <v>276</v>
      </c>
      <c r="B13" s="31">
        <f>Ratings!AQ27</f>
        <v>0</v>
      </c>
      <c r="C13" s="31">
        <f>Ratings!AQ28</f>
        <v>4</v>
      </c>
      <c r="D13" s="31">
        <f>Ratings!AQ29</f>
        <v>0</v>
      </c>
      <c r="E13" s="31">
        <f>Ratings!AQ30</f>
        <v>8</v>
      </c>
      <c r="F13" s="31">
        <f>Ratings!AQ31</f>
        <v>0</v>
      </c>
      <c r="G13" s="31">
        <f>Ratings!AQ32</f>
        <v>7</v>
      </c>
      <c r="H13" s="31">
        <f>Ratings!AQ33</f>
        <v>1</v>
      </c>
      <c r="I13" s="31">
        <f>Ratings!AQ34</f>
        <v>2</v>
      </c>
      <c r="J13" s="31">
        <f>Ratings!AQ35</f>
        <v>2</v>
      </c>
      <c r="K13" s="31">
        <f>Ratings!AQ36</f>
        <v>11</v>
      </c>
      <c r="L13" s="61">
        <f t="shared" si="0"/>
        <v>35</v>
      </c>
    </row>
    <row r="14" spans="1:12" x14ac:dyDescent="0.25">
      <c r="A14" s="60" t="s">
        <v>277</v>
      </c>
      <c r="B14" s="167">
        <f>Ratings!$AU$27</f>
        <v>15</v>
      </c>
      <c r="C14" s="167">
        <f>Ratings!$AU$27</f>
        <v>15</v>
      </c>
      <c r="D14" s="167">
        <f>Ratings!$AU$27</f>
        <v>15</v>
      </c>
      <c r="E14" s="167">
        <f>Ratings!$AU$27</f>
        <v>15</v>
      </c>
      <c r="F14" s="167">
        <f>Ratings!$AU$27</f>
        <v>15</v>
      </c>
      <c r="G14" s="167">
        <f>Ratings!$AU$27</f>
        <v>15</v>
      </c>
      <c r="H14" s="167">
        <f>Ratings!$AU$27</f>
        <v>15</v>
      </c>
      <c r="I14" s="167">
        <f>Ratings!$AU$27</f>
        <v>15</v>
      </c>
      <c r="J14" s="167">
        <f>Ratings!$AU$27</f>
        <v>15</v>
      </c>
      <c r="K14" s="167">
        <f>Ratings!$AU$27</f>
        <v>15</v>
      </c>
      <c r="L14" s="61">
        <f>SUM(B14:K14)/10</f>
        <v>15</v>
      </c>
    </row>
    <row r="15" spans="1:12" x14ac:dyDescent="0.25">
      <c r="A15" s="60" t="s">
        <v>278</v>
      </c>
      <c r="B15" s="31">
        <f>+Ratings!AY27</f>
        <v>9</v>
      </c>
      <c r="C15" s="31">
        <f>Ratings!AY28</f>
        <v>14</v>
      </c>
      <c r="D15" s="31">
        <f>Ratings!AY29</f>
        <v>5</v>
      </c>
      <c r="E15" s="31">
        <f>Ratings!AY30</f>
        <v>10</v>
      </c>
      <c r="F15" s="31">
        <f>Ratings!AY31</f>
        <v>13</v>
      </c>
      <c r="G15" s="31">
        <f>Ratings!AY32</f>
        <v>11</v>
      </c>
      <c r="H15" s="31">
        <f>Ratings!AY33</f>
        <v>8</v>
      </c>
      <c r="I15" s="31">
        <f>Ratings!AY34</f>
        <v>11</v>
      </c>
      <c r="J15" s="31">
        <f>Ratings!AY35</f>
        <v>5</v>
      </c>
      <c r="K15" s="31">
        <f>Ratings!AY36</f>
        <v>11</v>
      </c>
      <c r="L15" s="61">
        <f>SUM(B15:K15)</f>
        <v>97</v>
      </c>
    </row>
    <row r="16" spans="1:12" x14ac:dyDescent="0.25">
      <c r="A16" s="60" t="s">
        <v>249</v>
      </c>
      <c r="B16" s="31">
        <f>Ratings!BA27</f>
        <v>0</v>
      </c>
      <c r="C16" s="31">
        <f>+Ratings!BA28</f>
        <v>0</v>
      </c>
      <c r="D16" s="31">
        <f>Ratings!BA29</f>
        <v>0</v>
      </c>
      <c r="E16" s="31">
        <f>Ratings!BA30</f>
        <v>0</v>
      </c>
      <c r="F16" s="31">
        <f>Ratings!BA31</f>
        <v>0</v>
      </c>
      <c r="G16" s="31">
        <f>Ratings!BA32</f>
        <v>0</v>
      </c>
      <c r="H16" s="31">
        <f>Ratings!BA33</f>
        <v>0</v>
      </c>
      <c r="I16" s="31">
        <f>Ratings!BA34</f>
        <v>0</v>
      </c>
      <c r="J16" s="31">
        <f>Ratings!BA35</f>
        <v>0</v>
      </c>
      <c r="K16" s="31">
        <f>Ratings!BA36</f>
        <v>0</v>
      </c>
      <c r="L16" s="61">
        <f t="shared" si="0"/>
        <v>0</v>
      </c>
    </row>
    <row r="17" spans="1:12" x14ac:dyDescent="0.25">
      <c r="A17" s="60" t="s">
        <v>136</v>
      </c>
      <c r="B17" s="31">
        <f>Ratings!BC27</f>
        <v>11</v>
      </c>
      <c r="C17" s="31">
        <f>Ratings!BC28</f>
        <v>11</v>
      </c>
      <c r="D17" s="31">
        <f>Ratings!BC29</f>
        <v>0</v>
      </c>
      <c r="E17" s="31">
        <f>Ratings!BC30</f>
        <v>11</v>
      </c>
      <c r="F17" s="31">
        <f>Ratings!BC31</f>
        <v>11</v>
      </c>
      <c r="G17" s="31">
        <f>Ratings!BC32</f>
        <v>11</v>
      </c>
      <c r="H17" s="31">
        <f>Ratings!BC33</f>
        <v>11</v>
      </c>
      <c r="I17" s="31">
        <f>Ratings!BC34</f>
        <v>11</v>
      </c>
      <c r="J17" s="31">
        <f>Ratings!BC35</f>
        <v>11</v>
      </c>
      <c r="K17" s="31">
        <f>Ratings!BC36</f>
        <v>11</v>
      </c>
      <c r="L17" s="61">
        <f t="shared" si="0"/>
        <v>99</v>
      </c>
    </row>
    <row r="18" spans="1:12" x14ac:dyDescent="0.25">
      <c r="A18" s="60" t="s">
        <v>279</v>
      </c>
      <c r="B18" s="31">
        <f>Ratings!BG27</f>
        <v>12</v>
      </c>
      <c r="C18" s="31">
        <f>Ratings!BG28</f>
        <v>12</v>
      </c>
      <c r="D18" s="31">
        <f>Ratings!BG29</f>
        <v>0</v>
      </c>
      <c r="E18" s="31">
        <f>Ratings!BG30</f>
        <v>10</v>
      </c>
      <c r="F18" s="31">
        <f>Ratings!BG31</f>
        <v>12</v>
      </c>
      <c r="G18" s="31">
        <f>Ratings!BG32</f>
        <v>4</v>
      </c>
      <c r="H18" s="31">
        <f>Ratings!BG33</f>
        <v>7</v>
      </c>
      <c r="I18" s="31">
        <f>Ratings!BG34</f>
        <v>4</v>
      </c>
      <c r="J18" s="31">
        <f>Ratings!BG35</f>
        <v>8</v>
      </c>
      <c r="K18" s="31">
        <f>Ratings!BG36</f>
        <v>12</v>
      </c>
      <c r="L18" s="61">
        <f t="shared" si="0"/>
        <v>81</v>
      </c>
    </row>
    <row r="19" spans="1:12" x14ac:dyDescent="0.25">
      <c r="A19" s="60" t="s">
        <v>280</v>
      </c>
      <c r="B19" s="31">
        <f>+Ratings!BK27</f>
        <v>3</v>
      </c>
      <c r="C19" s="31">
        <f>Ratings!BK28</f>
        <v>9</v>
      </c>
      <c r="D19" s="31">
        <f>Ratings!BK29</f>
        <v>3</v>
      </c>
      <c r="E19" s="31">
        <f>Ratings!BK30</f>
        <v>5</v>
      </c>
      <c r="F19" s="31">
        <f>Ratings!BK31</f>
        <v>8</v>
      </c>
      <c r="G19" s="31">
        <f>Ratings!BK32</f>
        <v>6</v>
      </c>
      <c r="H19" s="31">
        <f>Ratings!BK33</f>
        <v>6</v>
      </c>
      <c r="I19" s="31">
        <f>Ratings!BK34</f>
        <v>5</v>
      </c>
      <c r="J19" s="31">
        <f>Ratings!BK35</f>
        <v>3</v>
      </c>
      <c r="K19" s="31">
        <f>Ratings!BK36</f>
        <v>6</v>
      </c>
      <c r="L19" s="61">
        <f t="shared" si="0"/>
        <v>54</v>
      </c>
    </row>
    <row r="20" spans="1:12" x14ac:dyDescent="0.25">
      <c r="A20" s="30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</row>
    <row r="21" spans="1:12" ht="18.75" x14ac:dyDescent="0.25">
      <c r="A21" s="32" t="s">
        <v>281</v>
      </c>
      <c r="B21" s="6">
        <f t="shared" ref="B21:K21" si="1">SUM(B3:B19)-B14</f>
        <v>103</v>
      </c>
      <c r="C21" s="6">
        <f t="shared" si="1"/>
        <v>164</v>
      </c>
      <c r="D21" s="6">
        <f t="shared" si="1"/>
        <v>108</v>
      </c>
      <c r="E21" s="6">
        <f t="shared" si="1"/>
        <v>152</v>
      </c>
      <c r="F21" s="6">
        <f t="shared" si="1"/>
        <v>150</v>
      </c>
      <c r="G21" s="6">
        <f t="shared" si="1"/>
        <v>144</v>
      </c>
      <c r="H21" s="6">
        <f t="shared" si="1"/>
        <v>125</v>
      </c>
      <c r="I21" s="6">
        <f t="shared" si="1"/>
        <v>135</v>
      </c>
      <c r="J21" s="6">
        <f t="shared" si="1"/>
        <v>122</v>
      </c>
      <c r="K21" s="6">
        <f t="shared" si="1"/>
        <v>163</v>
      </c>
      <c r="L21" s="64">
        <f>SUM(L3:L19)/10</f>
        <v>138.1</v>
      </c>
    </row>
    <row r="22" spans="1:12" ht="18.75" x14ac:dyDescent="0.25">
      <c r="A22" s="32" t="s">
        <v>282</v>
      </c>
      <c r="B22" s="6">
        <f>Ratings!D27</f>
        <v>81</v>
      </c>
      <c r="C22" s="6">
        <f>Ratings!D28</f>
        <v>7</v>
      </c>
      <c r="D22" s="6">
        <f>Ratings!D29</f>
        <v>76</v>
      </c>
      <c r="E22" s="6">
        <f>Ratings!D30</f>
        <v>20</v>
      </c>
      <c r="F22" s="6">
        <f>Ratings!D31</f>
        <v>22</v>
      </c>
      <c r="G22" s="6">
        <f>Ratings!D32</f>
        <v>28</v>
      </c>
      <c r="H22" s="6">
        <f>Ratings!D33</f>
        <v>54</v>
      </c>
      <c r="I22" s="6">
        <f>Ratings!D34</f>
        <v>37</v>
      </c>
      <c r="J22" s="6">
        <f>Ratings!D35</f>
        <v>58</v>
      </c>
      <c r="K22" s="6">
        <f>Ratings!D36</f>
        <v>8</v>
      </c>
      <c r="L22" s="6"/>
    </row>
  </sheetData>
  <pageMargins left="0.45" right="0.2" top="0.25" bottom="0.25" header="0.3" footer="0.3"/>
  <pageSetup orientation="landscape" r:id="rId1"/>
  <ignoredErrors>
    <ignoredError sqref="B9:F9 B11:F11 B16:F16 B19:F19 G9:K9 G11:K11 G16:K16 G19:K19" emptyCellReferenc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7D797-C545-46FF-B5A5-5C34B68A35AF}">
  <sheetPr>
    <tabColor rgb="FF92D050"/>
  </sheetPr>
  <dimension ref="A1:I22"/>
  <sheetViews>
    <sheetView workbookViewId="0">
      <selection activeCell="I14" sqref="I14"/>
    </sheetView>
  </sheetViews>
  <sheetFormatPr defaultRowHeight="15" x14ac:dyDescent="0.25"/>
  <cols>
    <col min="1" max="1" width="24" customWidth="1"/>
    <col min="2" max="8" width="8.7109375" customWidth="1"/>
    <col min="9" max="9" width="15.28515625" customWidth="1"/>
  </cols>
  <sheetData>
    <row r="1" spans="1:9" ht="18.75" x14ac:dyDescent="0.4">
      <c r="A1" s="58" t="s">
        <v>267</v>
      </c>
      <c r="B1" s="59">
        <v>59</v>
      </c>
      <c r="C1" s="59">
        <v>299</v>
      </c>
      <c r="D1" s="59">
        <v>307</v>
      </c>
      <c r="E1" s="59">
        <v>410</v>
      </c>
      <c r="F1" s="59">
        <v>523</v>
      </c>
      <c r="G1" s="59">
        <v>596</v>
      </c>
      <c r="H1" s="59">
        <v>1603</v>
      </c>
      <c r="I1" s="58" t="s">
        <v>87</v>
      </c>
    </row>
    <row r="2" spans="1:9" ht="18.75" x14ac:dyDescent="0.25">
      <c r="A2" s="32" t="s">
        <v>268</v>
      </c>
      <c r="B2" s="9"/>
      <c r="C2" s="9"/>
      <c r="D2" s="9"/>
      <c r="E2" s="9"/>
      <c r="F2" s="9"/>
      <c r="G2" s="9"/>
      <c r="H2" s="9"/>
      <c r="I2" s="9"/>
    </row>
    <row r="3" spans="1:9" x14ac:dyDescent="0.25">
      <c r="A3" s="60" t="s">
        <v>269</v>
      </c>
      <c r="B3" s="31">
        <f xml:space="preserve"> Ratings!H40</f>
        <v>9</v>
      </c>
      <c r="C3" s="31">
        <f xml:space="preserve"> Ratings!H41</f>
        <v>11</v>
      </c>
      <c r="D3" s="31">
        <f xml:space="preserve"> Ratings!H42</f>
        <v>11</v>
      </c>
      <c r="E3" s="31">
        <f xml:space="preserve"> Ratings!H43</f>
        <v>11</v>
      </c>
      <c r="F3" s="31">
        <f xml:space="preserve"> Ratings!H44</f>
        <v>2</v>
      </c>
      <c r="G3" s="31">
        <f xml:space="preserve"> Ratings!H45</f>
        <v>11</v>
      </c>
      <c r="H3" s="31">
        <f xml:space="preserve"> Ratings!H46</f>
        <v>10</v>
      </c>
      <c r="I3" s="31">
        <f t="shared" ref="I3:I19" si="0">SUM(B3:H3)</f>
        <v>65</v>
      </c>
    </row>
    <row r="4" spans="1:9" x14ac:dyDescent="0.25">
      <c r="A4" s="60" t="s">
        <v>133</v>
      </c>
      <c r="B4" s="31">
        <f xml:space="preserve"> Ratings!J40</f>
        <v>10</v>
      </c>
      <c r="C4" s="31">
        <f xml:space="preserve"> Ratings!J41</f>
        <v>8</v>
      </c>
      <c r="D4" s="31">
        <f xml:space="preserve"> Ratings!J42</f>
        <v>10</v>
      </c>
      <c r="E4" s="31">
        <f xml:space="preserve"> Ratings!J43</f>
        <v>10</v>
      </c>
      <c r="F4" s="31">
        <f xml:space="preserve"> Ratings!J44</f>
        <v>9</v>
      </c>
      <c r="G4" s="31">
        <f xml:space="preserve"> Ratings!J45</f>
        <v>9</v>
      </c>
      <c r="H4" s="31">
        <f xml:space="preserve"> Ratings!J46</f>
        <v>10</v>
      </c>
      <c r="I4" s="31">
        <f t="shared" si="0"/>
        <v>66</v>
      </c>
    </row>
    <row r="5" spans="1:9" x14ac:dyDescent="0.25">
      <c r="A5" s="60" t="s">
        <v>270</v>
      </c>
      <c r="B5" s="31">
        <f>Ratings!O40</f>
        <v>11</v>
      </c>
      <c r="C5" s="31">
        <f xml:space="preserve"> Ratings!O41</f>
        <v>4</v>
      </c>
      <c r="D5" s="31">
        <f xml:space="preserve"> Ratings!O42</f>
        <v>11</v>
      </c>
      <c r="E5" s="31">
        <f xml:space="preserve"> Ratings!O43</f>
        <v>9</v>
      </c>
      <c r="F5" s="31">
        <f xml:space="preserve"> Ratings!O44</f>
        <v>11</v>
      </c>
      <c r="G5" s="31">
        <f xml:space="preserve"> Ratings!O45</f>
        <v>9</v>
      </c>
      <c r="H5" s="31">
        <f xml:space="preserve"> Ratings!O46</f>
        <v>10</v>
      </c>
      <c r="I5" s="31">
        <f t="shared" si="0"/>
        <v>65</v>
      </c>
    </row>
    <row r="6" spans="1:9" x14ac:dyDescent="0.25">
      <c r="A6" s="62" t="s">
        <v>271</v>
      </c>
      <c r="B6" s="31">
        <f xml:space="preserve"> Ratings!Q40</f>
        <v>8</v>
      </c>
      <c r="C6" s="31">
        <f xml:space="preserve"> Ratings!Q41</f>
        <v>5</v>
      </c>
      <c r="D6" s="31">
        <f xml:space="preserve"> Ratings!Q42</f>
        <v>11</v>
      </c>
      <c r="E6" s="31">
        <f xml:space="preserve"> Ratings!Q43</f>
        <v>8</v>
      </c>
      <c r="F6" s="31">
        <f xml:space="preserve"> Ratings!Q44</f>
        <v>5</v>
      </c>
      <c r="G6" s="31">
        <f xml:space="preserve"> Ratings!Q45</f>
        <v>5</v>
      </c>
      <c r="H6" s="31">
        <f xml:space="preserve"> Ratings!Q46</f>
        <v>8</v>
      </c>
      <c r="I6" s="31">
        <f t="shared" si="0"/>
        <v>50</v>
      </c>
    </row>
    <row r="7" spans="1:9" x14ac:dyDescent="0.25">
      <c r="A7" s="60" t="s">
        <v>272</v>
      </c>
      <c r="B7" s="31">
        <f xml:space="preserve"> Ratings!V40</f>
        <v>11</v>
      </c>
      <c r="C7" s="31">
        <f xml:space="preserve"> Ratings!V41</f>
        <v>0</v>
      </c>
      <c r="D7" s="31">
        <f xml:space="preserve"> Ratings!V42</f>
        <v>10</v>
      </c>
      <c r="E7" s="31">
        <f xml:space="preserve"> Ratings!V43</f>
        <v>0</v>
      </c>
      <c r="F7" s="31">
        <f xml:space="preserve"> Ratings!V44</f>
        <v>0</v>
      </c>
      <c r="G7" s="31">
        <f xml:space="preserve"> Ratings!V45</f>
        <v>11</v>
      </c>
      <c r="H7" s="31">
        <f xml:space="preserve"> Ratings!V46</f>
        <v>11</v>
      </c>
      <c r="I7" s="31">
        <f t="shared" si="0"/>
        <v>43</v>
      </c>
    </row>
    <row r="8" spans="1:9" x14ac:dyDescent="0.25">
      <c r="A8" s="60" t="s">
        <v>203</v>
      </c>
      <c r="B8" s="31">
        <f xml:space="preserve"> Ratings!Z40</f>
        <v>11</v>
      </c>
      <c r="C8" s="31">
        <f xml:space="preserve"> Ratings!Z41</f>
        <v>0</v>
      </c>
      <c r="D8" s="31">
        <f xml:space="preserve"> Ratings!Z42</f>
        <v>11</v>
      </c>
      <c r="E8" s="31">
        <f xml:space="preserve"> Ratings!Z43</f>
        <v>11</v>
      </c>
      <c r="F8" s="31">
        <f xml:space="preserve"> Ratings!Z44</f>
        <v>11</v>
      </c>
      <c r="G8" s="31">
        <f xml:space="preserve"> Ratings!Z45</f>
        <v>5</v>
      </c>
      <c r="H8" s="31">
        <f xml:space="preserve"> Ratings!Z46</f>
        <v>11</v>
      </c>
      <c r="I8" s="31">
        <f t="shared" si="0"/>
        <v>60</v>
      </c>
    </row>
    <row r="9" spans="1:9" x14ac:dyDescent="0.25">
      <c r="A9" s="60" t="s">
        <v>273</v>
      </c>
      <c r="B9" s="31">
        <f>Ratings!AI40</f>
        <v>22</v>
      </c>
      <c r="C9" s="31">
        <f>Ratings!AI41</f>
        <v>6</v>
      </c>
      <c r="D9" s="31">
        <f>Ratings!AI42</f>
        <v>22</v>
      </c>
      <c r="E9" s="31">
        <f>Ratings!AI43</f>
        <v>22</v>
      </c>
      <c r="F9" s="31">
        <f>Ratings!AI44</f>
        <v>20</v>
      </c>
      <c r="G9" s="31">
        <f>Ratings!AI45</f>
        <v>18</v>
      </c>
      <c r="H9" s="31">
        <f>Ratings!AI46</f>
        <v>20</v>
      </c>
      <c r="I9" s="31">
        <f t="shared" si="0"/>
        <v>130</v>
      </c>
    </row>
    <row r="10" spans="1:9" x14ac:dyDescent="0.25">
      <c r="A10" s="60" t="s">
        <v>274</v>
      </c>
      <c r="B10" s="31">
        <f>Ratings!AK40</f>
        <v>7</v>
      </c>
      <c r="C10" s="31">
        <f>Ratings!AK41</f>
        <v>2</v>
      </c>
      <c r="D10" s="31">
        <f>Ratings!AK42</f>
        <v>4</v>
      </c>
      <c r="E10" s="31">
        <f>Ratings!AK43</f>
        <v>4</v>
      </c>
      <c r="F10" s="31">
        <f>Ratings!AK44</f>
        <v>6</v>
      </c>
      <c r="G10" s="31">
        <f>Ratings!AK45</f>
        <v>5</v>
      </c>
      <c r="H10" s="31">
        <f>Ratings!AK46</f>
        <v>6</v>
      </c>
      <c r="I10" s="31">
        <f t="shared" si="0"/>
        <v>34</v>
      </c>
    </row>
    <row r="11" spans="1:9" x14ac:dyDescent="0.25">
      <c r="A11" s="60" t="s">
        <v>275</v>
      </c>
      <c r="B11" s="31">
        <f>Ratings!AM40</f>
        <v>9</v>
      </c>
      <c r="C11" s="31">
        <f>Ratings!AM41</f>
        <v>8</v>
      </c>
      <c r="D11" s="31">
        <f>Ratings!AM42</f>
        <v>10</v>
      </c>
      <c r="E11" s="31">
        <f>Ratings!AM43</f>
        <v>9</v>
      </c>
      <c r="F11" s="31">
        <f>Ratings!AM44</f>
        <v>0</v>
      </c>
      <c r="G11" s="31">
        <f>Ratings!AM45</f>
        <v>10</v>
      </c>
      <c r="H11" s="31">
        <f>Ratings!AM46</f>
        <v>0</v>
      </c>
      <c r="I11" s="31">
        <f t="shared" si="0"/>
        <v>46</v>
      </c>
    </row>
    <row r="12" spans="1:9" x14ac:dyDescent="0.25">
      <c r="A12" s="60" t="s">
        <v>139</v>
      </c>
      <c r="B12" s="31">
        <f>Ratings!AO40</f>
        <v>11</v>
      </c>
      <c r="C12" s="31">
        <f>Ratings!AO41</f>
        <v>0</v>
      </c>
      <c r="D12" s="31">
        <f>Ratings!AO42</f>
        <v>11</v>
      </c>
      <c r="E12" s="31">
        <f>Ratings!AO43</f>
        <v>11</v>
      </c>
      <c r="F12" s="31">
        <f>Ratings!AO44</f>
        <v>0</v>
      </c>
      <c r="G12" s="31">
        <f>Ratings!AO45</f>
        <v>11</v>
      </c>
      <c r="H12" s="31">
        <f>Ratings!AO46</f>
        <v>8</v>
      </c>
      <c r="I12" s="31">
        <f t="shared" si="0"/>
        <v>52</v>
      </c>
    </row>
    <row r="13" spans="1:9" x14ac:dyDescent="0.25">
      <c r="A13" s="60" t="s">
        <v>276</v>
      </c>
      <c r="B13" s="31">
        <f>Ratings!AQ40</f>
        <v>1</v>
      </c>
      <c r="C13" s="31">
        <f>Ratings!AQ41</f>
        <v>0</v>
      </c>
      <c r="D13" s="31">
        <f>Ratings!AQ42</f>
        <v>11</v>
      </c>
      <c r="E13" s="31">
        <f>Ratings!AQ43</f>
        <v>11</v>
      </c>
      <c r="F13" s="31">
        <f>Ratings!AQ44</f>
        <v>0</v>
      </c>
      <c r="G13" s="31">
        <f>Ratings!AQ45</f>
        <v>1</v>
      </c>
      <c r="H13" s="31">
        <f>Ratings!AQ46</f>
        <v>1</v>
      </c>
      <c r="I13" s="31">
        <f>SUM(B13:H13)</f>
        <v>25</v>
      </c>
    </row>
    <row r="14" spans="1:9" x14ac:dyDescent="0.25">
      <c r="A14" s="60" t="s">
        <v>277</v>
      </c>
      <c r="B14" s="167">
        <f>Ratings!$AU$40</f>
        <v>9</v>
      </c>
      <c r="C14" s="167">
        <f>Ratings!$AU$40</f>
        <v>9</v>
      </c>
      <c r="D14" s="167">
        <f>Ratings!$AU$40</f>
        <v>9</v>
      </c>
      <c r="E14" s="167">
        <f>Ratings!$AU$40</f>
        <v>9</v>
      </c>
      <c r="F14" s="167">
        <f>Ratings!$AU$40</f>
        <v>9</v>
      </c>
      <c r="G14" s="167">
        <f>Ratings!$AU$40</f>
        <v>9</v>
      </c>
      <c r="H14" s="167">
        <f>Ratings!$AU$40</f>
        <v>9</v>
      </c>
      <c r="I14" s="61">
        <f>SUM(B14:H14)/7</f>
        <v>9</v>
      </c>
    </row>
    <row r="15" spans="1:9" x14ac:dyDescent="0.25">
      <c r="A15" s="60" t="s">
        <v>278</v>
      </c>
      <c r="B15" s="31">
        <f>Ratings!AY40</f>
        <v>5</v>
      </c>
      <c r="C15" s="31">
        <f>Ratings!AY41</f>
        <v>7</v>
      </c>
      <c r="D15" s="31">
        <f>Ratings!AY42</f>
        <v>8</v>
      </c>
      <c r="E15" s="31">
        <f>Ratings!AY43</f>
        <v>8</v>
      </c>
      <c r="F15" s="31">
        <f>Ratings!AY44</f>
        <v>6</v>
      </c>
      <c r="G15" s="31">
        <f>Ratings!AY45</f>
        <v>10</v>
      </c>
      <c r="H15" s="31">
        <f>Ratings!AY46</f>
        <v>7</v>
      </c>
      <c r="I15" s="31">
        <f t="shared" si="0"/>
        <v>51</v>
      </c>
    </row>
    <row r="16" spans="1:9" x14ac:dyDescent="0.25">
      <c r="A16" s="60" t="s">
        <v>249</v>
      </c>
      <c r="B16" s="31">
        <f>Ratings!BA40</f>
        <v>0</v>
      </c>
      <c r="C16" s="31">
        <f>Ratings!BA41</f>
        <v>0</v>
      </c>
      <c r="D16" s="31">
        <f>Ratings!BA42</f>
        <v>0</v>
      </c>
      <c r="E16" s="31">
        <f>Ratings!BA43</f>
        <v>0</v>
      </c>
      <c r="F16" s="31">
        <f>Ratings!BA44</f>
        <v>0</v>
      </c>
      <c r="G16" s="31">
        <f>Ratings!BA45</f>
        <v>0</v>
      </c>
      <c r="H16" s="31">
        <f>Ratings!BA46</f>
        <v>0</v>
      </c>
      <c r="I16" s="31">
        <f t="shared" si="0"/>
        <v>0</v>
      </c>
    </row>
    <row r="17" spans="1:9" x14ac:dyDescent="0.25">
      <c r="A17" s="60" t="s">
        <v>136</v>
      </c>
      <c r="B17" s="31">
        <f>Ratings!BC40</f>
        <v>11</v>
      </c>
      <c r="C17" s="31">
        <f>Ratings!BC41</f>
        <v>11</v>
      </c>
      <c r="D17" s="31">
        <f>Ratings!BC42</f>
        <v>11</v>
      </c>
      <c r="E17" s="31">
        <f>Ratings!BC43</f>
        <v>11</v>
      </c>
      <c r="F17" s="31">
        <f>Ratings!BC44</f>
        <v>0</v>
      </c>
      <c r="G17" s="31">
        <f>Ratings!BC45</f>
        <v>11</v>
      </c>
      <c r="H17" s="31">
        <f>Ratings!BC46</f>
        <v>11</v>
      </c>
      <c r="I17" s="31">
        <f t="shared" si="0"/>
        <v>66</v>
      </c>
    </row>
    <row r="18" spans="1:9" x14ac:dyDescent="0.25">
      <c r="A18" s="60" t="s">
        <v>279</v>
      </c>
      <c r="B18" s="31">
        <f>Ratings!BG40</f>
        <v>4</v>
      </c>
      <c r="C18" s="31">
        <f>Ratings!BG41</f>
        <v>4</v>
      </c>
      <c r="D18" s="31">
        <f>Ratings!BG42</f>
        <v>12</v>
      </c>
      <c r="E18" s="31">
        <f>Ratings!BG43</f>
        <v>11</v>
      </c>
      <c r="F18" s="31">
        <f>Ratings!BG44</f>
        <v>12</v>
      </c>
      <c r="G18" s="31">
        <f>Ratings!BG45</f>
        <v>12</v>
      </c>
      <c r="H18" s="31">
        <f>Ratings!BG46</f>
        <v>0</v>
      </c>
      <c r="I18" s="31">
        <f t="shared" si="0"/>
        <v>55</v>
      </c>
    </row>
    <row r="19" spans="1:9" x14ac:dyDescent="0.25">
      <c r="A19" s="60" t="s">
        <v>280</v>
      </c>
      <c r="B19" s="31">
        <f>Ratings!BK40</f>
        <v>3</v>
      </c>
      <c r="C19" s="31">
        <f>Ratings!BK41</f>
        <v>8</v>
      </c>
      <c r="D19" s="31">
        <f>Ratings!BK42</f>
        <v>6</v>
      </c>
      <c r="E19" s="31">
        <f>Ratings!BK43</f>
        <v>9</v>
      </c>
      <c r="F19" s="31">
        <f>Ratings!BK44</f>
        <v>6</v>
      </c>
      <c r="G19" s="31">
        <f>Ratings!BK45</f>
        <v>6</v>
      </c>
      <c r="H19" s="31">
        <f>Ratings!BK46</f>
        <v>2</v>
      </c>
      <c r="I19" s="31">
        <f t="shared" si="0"/>
        <v>40</v>
      </c>
    </row>
    <row r="20" spans="1:9" x14ac:dyDescent="0.25">
      <c r="A20" s="30"/>
      <c r="B20" s="31"/>
      <c r="C20" s="31"/>
      <c r="D20" s="31"/>
      <c r="E20" s="31"/>
      <c r="F20" s="31"/>
      <c r="G20" s="31"/>
      <c r="H20" s="31"/>
      <c r="I20" s="31"/>
    </row>
    <row r="21" spans="1:9" ht="18.75" x14ac:dyDescent="0.25">
      <c r="A21" s="32" t="s">
        <v>281</v>
      </c>
      <c r="B21" s="6">
        <f t="shared" ref="B21:H21" si="1">SUM(B3:B19)-B14</f>
        <v>133</v>
      </c>
      <c r="C21" s="6">
        <f t="shared" si="1"/>
        <v>74</v>
      </c>
      <c r="D21" s="6">
        <f t="shared" si="1"/>
        <v>159</v>
      </c>
      <c r="E21" s="6">
        <f t="shared" si="1"/>
        <v>145</v>
      </c>
      <c r="F21" s="6">
        <f t="shared" si="1"/>
        <v>88</v>
      </c>
      <c r="G21" s="6">
        <f t="shared" si="1"/>
        <v>134</v>
      </c>
      <c r="H21" s="6">
        <f t="shared" si="1"/>
        <v>115</v>
      </c>
      <c r="I21" s="64">
        <f>SUM(I3:I19)/7</f>
        <v>122.42857142857143</v>
      </c>
    </row>
    <row r="22" spans="1:9" ht="18.75" x14ac:dyDescent="0.25">
      <c r="A22" s="32" t="s">
        <v>282</v>
      </c>
      <c r="B22" s="6">
        <f>Ratings!D40</f>
        <v>42</v>
      </c>
      <c r="C22" s="6">
        <f>Ratings!D41</f>
        <v>99</v>
      </c>
      <c r="D22" s="6">
        <f>Ratings!D42</f>
        <v>12</v>
      </c>
      <c r="E22" s="6">
        <f>Ratings!D43</f>
        <v>26</v>
      </c>
      <c r="F22" s="6">
        <f>Ratings!D44</f>
        <v>92</v>
      </c>
      <c r="G22" s="6">
        <f>Ratings!D45</f>
        <v>40</v>
      </c>
      <c r="H22" s="6">
        <f>Ratings!D46</f>
        <v>70</v>
      </c>
      <c r="I22" s="6"/>
    </row>
  </sheetData>
  <pageMargins left="0.45" right="0.2" top="0.25" bottom="0.25" header="0.3" footer="0.3"/>
  <pageSetup orientation="landscape" r:id="rId1"/>
  <ignoredErrors>
    <ignoredError sqref="B9:H9 B11:H11 B16:H16 B19:H19" emptyCellReferenc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DA23E-4DE6-4602-909D-3028AE2A0BE1}">
  <sheetPr>
    <tabColor theme="4" tint="-0.249977111117893"/>
  </sheetPr>
  <dimension ref="A1:K22"/>
  <sheetViews>
    <sheetView workbookViewId="0">
      <selection activeCell="K15" sqref="K15"/>
    </sheetView>
  </sheetViews>
  <sheetFormatPr defaultRowHeight="15" x14ac:dyDescent="0.25"/>
  <cols>
    <col min="1" max="1" width="24" customWidth="1"/>
    <col min="2" max="10" width="8.7109375" customWidth="1"/>
    <col min="11" max="11" width="15.28515625" customWidth="1"/>
  </cols>
  <sheetData>
    <row r="1" spans="1:11" ht="18.75" x14ac:dyDescent="0.4">
      <c r="A1" s="58" t="s">
        <v>267</v>
      </c>
      <c r="B1" s="59">
        <v>107</v>
      </c>
      <c r="C1" s="59">
        <v>227</v>
      </c>
      <c r="D1" s="59">
        <v>720</v>
      </c>
      <c r="E1" s="59">
        <v>761</v>
      </c>
      <c r="F1" s="59">
        <v>925</v>
      </c>
      <c r="G1" s="59">
        <v>1191</v>
      </c>
      <c r="H1" s="59">
        <v>1526</v>
      </c>
      <c r="I1" s="59">
        <v>1790</v>
      </c>
      <c r="J1" s="59">
        <v>2500</v>
      </c>
      <c r="K1" s="59" t="s">
        <v>79</v>
      </c>
    </row>
    <row r="2" spans="1:11" ht="18.75" x14ac:dyDescent="0.25">
      <c r="A2" s="32" t="s">
        <v>268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x14ac:dyDescent="0.25">
      <c r="A3" s="60" t="s">
        <v>269</v>
      </c>
      <c r="B3" s="31">
        <f xml:space="preserve"> Ratings!H50</f>
        <v>7</v>
      </c>
      <c r="C3" s="31">
        <f xml:space="preserve"> Ratings!H51</f>
        <v>11</v>
      </c>
      <c r="D3" s="31">
        <f xml:space="preserve"> Ratings!H52</f>
        <v>3</v>
      </c>
      <c r="E3" s="31">
        <f xml:space="preserve"> Ratings!H53</f>
        <v>11</v>
      </c>
      <c r="F3" s="31">
        <f xml:space="preserve"> Ratings!H54</f>
        <v>11</v>
      </c>
      <c r="G3" s="31">
        <f xml:space="preserve"> Ratings!H55</f>
        <v>0</v>
      </c>
      <c r="H3" s="31">
        <f xml:space="preserve"> Ratings!H56</f>
        <v>6</v>
      </c>
      <c r="I3" s="31">
        <f xml:space="preserve"> Ratings!H57</f>
        <v>9</v>
      </c>
      <c r="J3" s="31">
        <f xml:space="preserve"> Ratings!H58</f>
        <v>11</v>
      </c>
      <c r="K3" s="61">
        <f t="shared" ref="K3:K12" si="0">SUM(B3:J3)</f>
        <v>69</v>
      </c>
    </row>
    <row r="4" spans="1:11" x14ac:dyDescent="0.25">
      <c r="A4" s="60" t="s">
        <v>133</v>
      </c>
      <c r="B4" s="31">
        <f xml:space="preserve"> Ratings!J50</f>
        <v>9</v>
      </c>
      <c r="C4" s="31">
        <f xml:space="preserve"> Ratings!J51</f>
        <v>10</v>
      </c>
      <c r="D4" s="31">
        <f xml:space="preserve"> Ratings!J52</f>
        <v>10</v>
      </c>
      <c r="E4" s="31">
        <f xml:space="preserve"> Ratings!J53</f>
        <v>10</v>
      </c>
      <c r="F4" s="31">
        <f xml:space="preserve"> Ratings!J54</f>
        <v>10</v>
      </c>
      <c r="G4" s="31">
        <f xml:space="preserve"> Ratings!J55</f>
        <v>9</v>
      </c>
      <c r="H4" s="31">
        <f xml:space="preserve"> Ratings!J56</f>
        <v>11</v>
      </c>
      <c r="I4" s="31">
        <f xml:space="preserve"> Ratings!J57</f>
        <v>10</v>
      </c>
      <c r="J4" s="31">
        <f xml:space="preserve"> Ratings!J58</f>
        <v>10</v>
      </c>
      <c r="K4" s="61">
        <f t="shared" si="0"/>
        <v>89</v>
      </c>
    </row>
    <row r="5" spans="1:11" x14ac:dyDescent="0.25">
      <c r="A5" s="60" t="s">
        <v>270</v>
      </c>
      <c r="B5" s="31">
        <f xml:space="preserve"> Ratings!O50</f>
        <v>6</v>
      </c>
      <c r="C5" s="31">
        <f xml:space="preserve"> Ratings!O51</f>
        <v>9</v>
      </c>
      <c r="D5" s="31">
        <f xml:space="preserve"> Ratings!O52</f>
        <v>6</v>
      </c>
      <c r="E5" s="31">
        <f xml:space="preserve"> Ratings!O53</f>
        <v>6</v>
      </c>
      <c r="F5" s="31">
        <f xml:space="preserve"> Ratings!O54</f>
        <v>3</v>
      </c>
      <c r="G5" s="31">
        <f xml:space="preserve"> Ratings!O55</f>
        <v>6</v>
      </c>
      <c r="H5" s="31">
        <f xml:space="preserve"> Ratings!O56</f>
        <v>7</v>
      </c>
      <c r="I5" s="31">
        <f xml:space="preserve"> Ratings!O57</f>
        <v>6</v>
      </c>
      <c r="J5" s="31">
        <f xml:space="preserve"> Ratings!O58</f>
        <v>11</v>
      </c>
      <c r="K5" s="61">
        <f t="shared" si="0"/>
        <v>60</v>
      </c>
    </row>
    <row r="6" spans="1:11" x14ac:dyDescent="0.25">
      <c r="A6" s="62" t="s">
        <v>271</v>
      </c>
      <c r="B6" s="31">
        <f xml:space="preserve"> Ratings!Q50</f>
        <v>6</v>
      </c>
      <c r="C6" s="31">
        <f xml:space="preserve"> Ratings!Q51</f>
        <v>4</v>
      </c>
      <c r="D6" s="31">
        <f xml:space="preserve"> Ratings!Q52</f>
        <v>9</v>
      </c>
      <c r="E6" s="31">
        <f xml:space="preserve"> Ratings!Q53</f>
        <v>9</v>
      </c>
      <c r="F6" s="31">
        <f xml:space="preserve"> Ratings!Q54</f>
        <v>6</v>
      </c>
      <c r="G6" s="31">
        <f xml:space="preserve"> Ratings!Q55</f>
        <v>5</v>
      </c>
      <c r="H6" s="31">
        <f xml:space="preserve"> Ratings!Q56</f>
        <v>11</v>
      </c>
      <c r="I6" s="31">
        <f xml:space="preserve"> Ratings!Q57</f>
        <v>4</v>
      </c>
      <c r="J6" s="31">
        <f xml:space="preserve"> Ratings!Q58</f>
        <v>11</v>
      </c>
      <c r="K6" s="61">
        <f t="shared" si="0"/>
        <v>65</v>
      </c>
    </row>
    <row r="7" spans="1:11" x14ac:dyDescent="0.25">
      <c r="A7" s="60" t="s">
        <v>272</v>
      </c>
      <c r="B7" s="31">
        <f xml:space="preserve"> Ratings!V50</f>
        <v>7</v>
      </c>
      <c r="C7" s="31">
        <f xml:space="preserve"> Ratings!V51</f>
        <v>8</v>
      </c>
      <c r="D7" s="31">
        <f xml:space="preserve"> Ratings!V52</f>
        <v>11</v>
      </c>
      <c r="E7" s="31">
        <f xml:space="preserve"> Ratings!V53</f>
        <v>11</v>
      </c>
      <c r="F7" s="31">
        <f xml:space="preserve"> Ratings!V54</f>
        <v>11</v>
      </c>
      <c r="G7" s="31">
        <f xml:space="preserve"> Ratings!V55</f>
        <v>1</v>
      </c>
      <c r="H7" s="31">
        <f xml:space="preserve"> Ratings!V56</f>
        <v>11</v>
      </c>
      <c r="I7" s="31">
        <f xml:space="preserve"> Ratings!V57</f>
        <v>11</v>
      </c>
      <c r="J7" s="31">
        <f xml:space="preserve"> Ratings!V58</f>
        <v>11</v>
      </c>
      <c r="K7" s="61">
        <f t="shared" si="0"/>
        <v>82</v>
      </c>
    </row>
    <row r="8" spans="1:11" x14ac:dyDescent="0.25">
      <c r="A8" s="60" t="s">
        <v>203</v>
      </c>
      <c r="B8" s="31">
        <f xml:space="preserve">  Ratings!Z50</f>
        <v>0</v>
      </c>
      <c r="C8" s="31">
        <f xml:space="preserve"> Ratings!Z51</f>
        <v>8</v>
      </c>
      <c r="D8" s="31">
        <f xml:space="preserve"> Ratings!Z52</f>
        <v>11</v>
      </c>
      <c r="E8" s="31">
        <f xml:space="preserve"> Ratings!Z53</f>
        <v>11</v>
      </c>
      <c r="F8" s="31">
        <f xml:space="preserve"> Ratings!Z54</f>
        <v>11</v>
      </c>
      <c r="G8" s="31">
        <f xml:space="preserve"> Ratings!Z55</f>
        <v>11</v>
      </c>
      <c r="H8" s="31">
        <f xml:space="preserve"> Ratings!Z56</f>
        <v>11</v>
      </c>
      <c r="I8" s="31">
        <f xml:space="preserve"> Ratings!Z57</f>
        <v>9</v>
      </c>
      <c r="J8" s="31">
        <f xml:space="preserve"> Ratings!Z58</f>
        <v>11</v>
      </c>
      <c r="K8" s="61">
        <f t="shared" si="0"/>
        <v>83</v>
      </c>
    </row>
    <row r="9" spans="1:11" x14ac:dyDescent="0.25">
      <c r="A9" s="60" t="s">
        <v>273</v>
      </c>
      <c r="B9" s="31">
        <f>Ratings!AI50</f>
        <v>14</v>
      </c>
      <c r="C9" s="31">
        <f>Ratings!AI51</f>
        <v>20</v>
      </c>
      <c r="D9" s="31">
        <f>Ratings!AI52</f>
        <v>22</v>
      </c>
      <c r="E9" s="31">
        <f>Ratings!AI53</f>
        <v>22</v>
      </c>
      <c r="F9" s="31">
        <f>Ratings!AI54</f>
        <v>22</v>
      </c>
      <c r="G9" s="31">
        <f>Ratings!AI55</f>
        <v>14</v>
      </c>
      <c r="H9" s="31">
        <f>Ratings!AI56</f>
        <v>22</v>
      </c>
      <c r="I9" s="31">
        <f>Ratings!AI57</f>
        <v>18</v>
      </c>
      <c r="J9" s="31">
        <f>Ratings!AI58</f>
        <v>14</v>
      </c>
      <c r="K9" s="61">
        <f t="shared" si="0"/>
        <v>168</v>
      </c>
    </row>
    <row r="10" spans="1:11" x14ac:dyDescent="0.25">
      <c r="A10" s="60" t="s">
        <v>274</v>
      </c>
      <c r="B10" s="31">
        <f>Ratings!AK50</f>
        <v>5</v>
      </c>
      <c r="C10" s="31">
        <f>Ratings!AK51</f>
        <v>11</v>
      </c>
      <c r="D10" s="31">
        <f>Ratings!AK52</f>
        <v>7</v>
      </c>
      <c r="E10" s="31">
        <f>Ratings!AK53</f>
        <v>6</v>
      </c>
      <c r="F10" s="31">
        <f>Ratings!AK54</f>
        <v>11</v>
      </c>
      <c r="G10" s="31">
        <f>Ratings!AK55</f>
        <v>7</v>
      </c>
      <c r="H10" s="31">
        <f>Ratings!AK56</f>
        <v>0</v>
      </c>
      <c r="I10" s="31">
        <f>Ratings!AK57</f>
        <v>6</v>
      </c>
      <c r="J10" s="31">
        <f>Ratings!AK58</f>
        <v>7</v>
      </c>
      <c r="K10" s="61">
        <f t="shared" si="0"/>
        <v>60</v>
      </c>
    </row>
    <row r="11" spans="1:11" x14ac:dyDescent="0.25">
      <c r="A11" s="60" t="s">
        <v>275</v>
      </c>
      <c r="B11" s="31">
        <f>Ratings!AM50</f>
        <v>9</v>
      </c>
      <c r="C11" s="31">
        <f>Ratings!AM51</f>
        <v>9</v>
      </c>
      <c r="D11" s="31">
        <f>Ratings!AM52</f>
        <v>10</v>
      </c>
      <c r="E11" s="31">
        <f>Ratings!AM53</f>
        <v>9</v>
      </c>
      <c r="F11" s="31">
        <f>Ratings!AM54</f>
        <v>11</v>
      </c>
      <c r="G11" s="31">
        <f>Ratings!AM55</f>
        <v>9</v>
      </c>
      <c r="H11" s="31">
        <f>Ratings!AM56</f>
        <v>9</v>
      </c>
      <c r="I11" s="31">
        <f>Ratings!AM57</f>
        <v>0</v>
      </c>
      <c r="J11" s="31">
        <f>Ratings!AM58</f>
        <v>9</v>
      </c>
      <c r="K11" s="61">
        <f t="shared" si="0"/>
        <v>75</v>
      </c>
    </row>
    <row r="12" spans="1:11" x14ac:dyDescent="0.25">
      <c r="A12" s="60" t="s">
        <v>139</v>
      </c>
      <c r="B12" s="31">
        <f>Ratings!AO50</f>
        <v>8</v>
      </c>
      <c r="C12" s="31">
        <f>Ratings!AO51</f>
        <v>8</v>
      </c>
      <c r="D12" s="31">
        <f>Ratings!AO52</f>
        <v>11</v>
      </c>
      <c r="E12" s="31">
        <f>Ratings!AO53</f>
        <v>11</v>
      </c>
      <c r="F12" s="31">
        <f>Ratings!AO54</f>
        <v>11</v>
      </c>
      <c r="G12" s="31">
        <f>Ratings!AO55</f>
        <v>11</v>
      </c>
      <c r="H12" s="31">
        <f>Ratings!AO56</f>
        <v>11</v>
      </c>
      <c r="I12" s="31">
        <f>Ratings!AO57</f>
        <v>0</v>
      </c>
      <c r="J12" s="31">
        <f>Ratings!AO58</f>
        <v>11</v>
      </c>
      <c r="K12" s="61">
        <f t="shared" si="0"/>
        <v>82</v>
      </c>
    </row>
    <row r="13" spans="1:11" x14ac:dyDescent="0.25">
      <c r="A13" s="60" t="s">
        <v>276</v>
      </c>
      <c r="B13" s="31">
        <f>Ratings!AQ50</f>
        <v>1</v>
      </c>
      <c r="C13" s="31">
        <f>Ratings!AQ51</f>
        <v>11</v>
      </c>
      <c r="D13" s="31">
        <f>Ratings!AQ52</f>
        <v>11</v>
      </c>
      <c r="E13" s="31">
        <f>Ratings!AQ53</f>
        <v>11</v>
      </c>
      <c r="F13" s="31">
        <f>Ratings!AQ54</f>
        <v>11</v>
      </c>
      <c r="G13" s="31">
        <f>Ratings!AQ55</f>
        <v>11</v>
      </c>
      <c r="H13" s="31">
        <f>Ratings!AQ56</f>
        <v>0</v>
      </c>
      <c r="I13" s="31">
        <f>Ratings!AQ57</f>
        <v>0</v>
      </c>
      <c r="J13" s="31">
        <f>Ratings!AQ58</f>
        <v>11</v>
      </c>
      <c r="K13" s="61">
        <f>SUM(B13:J13)</f>
        <v>67</v>
      </c>
    </row>
    <row r="14" spans="1:11" x14ac:dyDescent="0.25">
      <c r="A14" s="60" t="s">
        <v>277</v>
      </c>
      <c r="B14" s="167">
        <f>Ratings!$AU$50</f>
        <v>24</v>
      </c>
      <c r="C14" s="167">
        <f>Ratings!$AU$50</f>
        <v>24</v>
      </c>
      <c r="D14" s="167">
        <f>Ratings!$AU$50</f>
        <v>24</v>
      </c>
      <c r="E14" s="167">
        <f>Ratings!$AU$50</f>
        <v>24</v>
      </c>
      <c r="F14" s="167">
        <f>Ratings!$AU$50</f>
        <v>24</v>
      </c>
      <c r="G14" s="167">
        <f>Ratings!$AU$50</f>
        <v>24</v>
      </c>
      <c r="H14" s="167">
        <f>Ratings!$AU$50</f>
        <v>24</v>
      </c>
      <c r="I14" s="167">
        <f>Ratings!$AU$50</f>
        <v>24</v>
      </c>
      <c r="J14" s="167">
        <f>Ratings!$AU$50</f>
        <v>24</v>
      </c>
      <c r="K14" s="61">
        <f>SUM(B14:J14)/9</f>
        <v>24</v>
      </c>
    </row>
    <row r="15" spans="1:11" x14ac:dyDescent="0.25">
      <c r="A15" s="60" t="s">
        <v>278</v>
      </c>
      <c r="B15" s="31">
        <f>Ratings!AY50</f>
        <v>8</v>
      </c>
      <c r="C15" s="31">
        <f>Ratings!AY51</f>
        <v>11</v>
      </c>
      <c r="D15" s="31">
        <f>Ratings!AY52</f>
        <v>11</v>
      </c>
      <c r="E15" s="31">
        <f>Ratings!AY53</f>
        <v>16</v>
      </c>
      <c r="F15" s="31">
        <f>Ratings!AY54</f>
        <v>17</v>
      </c>
      <c r="G15" s="31">
        <f>Ratings!AY55</f>
        <v>14</v>
      </c>
      <c r="H15" s="31">
        <f>Ratings!AY56</f>
        <v>12</v>
      </c>
      <c r="I15" s="31">
        <f>Ratings!AY57</f>
        <v>9</v>
      </c>
      <c r="J15" s="31">
        <f>Ratings!AY58</f>
        <v>15</v>
      </c>
      <c r="K15" s="61">
        <f>SUM(B15:J15)</f>
        <v>113</v>
      </c>
    </row>
    <row r="16" spans="1:11" x14ac:dyDescent="0.25">
      <c r="A16" s="60" t="s">
        <v>249</v>
      </c>
      <c r="B16" s="31">
        <f>Ratings!BA50</f>
        <v>0</v>
      </c>
      <c r="C16" s="31">
        <f>Ratings!BA51</f>
        <v>0</v>
      </c>
      <c r="D16" s="31">
        <f>Ratings!BA52</f>
        <v>8</v>
      </c>
      <c r="E16" s="31">
        <f>Ratings!BA53</f>
        <v>0</v>
      </c>
      <c r="F16" s="31">
        <f>Ratings!BA54</f>
        <v>0</v>
      </c>
      <c r="G16" s="31">
        <f>Ratings!BA55</f>
        <v>0</v>
      </c>
      <c r="H16" s="31">
        <f>Ratings!BA56</f>
        <v>0</v>
      </c>
      <c r="I16" s="31">
        <f>Ratings!BA57</f>
        <v>0</v>
      </c>
      <c r="J16" s="31">
        <f>Ratings!BA58</f>
        <v>0</v>
      </c>
      <c r="K16" s="61">
        <f t="shared" ref="K16:K19" si="1">SUM(B16:J16)</f>
        <v>8</v>
      </c>
    </row>
    <row r="17" spans="1:11" x14ac:dyDescent="0.25">
      <c r="A17" s="60" t="s">
        <v>136</v>
      </c>
      <c r="B17" s="31">
        <f>Ratings!BC50</f>
        <v>11</v>
      </c>
      <c r="C17" s="31">
        <f>Ratings!BC51</f>
        <v>11</v>
      </c>
      <c r="D17" s="31">
        <f>Ratings!BC52</f>
        <v>11</v>
      </c>
      <c r="E17" s="31">
        <f>Ratings!BC53</f>
        <v>11</v>
      </c>
      <c r="F17" s="31">
        <f>Ratings!BC54</f>
        <v>11</v>
      </c>
      <c r="G17" s="31">
        <f>Ratings!BC55</f>
        <v>11</v>
      </c>
      <c r="H17" s="31">
        <f>Ratings!BC56</f>
        <v>11</v>
      </c>
      <c r="I17" s="31">
        <f>Ratings!BC57</f>
        <v>11</v>
      </c>
      <c r="J17" s="31">
        <f>Ratings!BC58</f>
        <v>11</v>
      </c>
      <c r="K17" s="61">
        <f t="shared" si="1"/>
        <v>99</v>
      </c>
    </row>
    <row r="18" spans="1:11" x14ac:dyDescent="0.25">
      <c r="A18" s="60" t="s">
        <v>279</v>
      </c>
      <c r="B18" s="31">
        <f>Ratings!BG50</f>
        <v>4</v>
      </c>
      <c r="C18" s="31">
        <f>Ratings!BG51</f>
        <v>12</v>
      </c>
      <c r="D18" s="31">
        <f>Ratings!BG52</f>
        <v>8</v>
      </c>
      <c r="E18" s="31">
        <f>Ratings!BG53</f>
        <v>8</v>
      </c>
      <c r="F18" s="31">
        <f>Ratings!BG54</f>
        <v>8</v>
      </c>
      <c r="G18" s="31">
        <f>Ratings!BG55</f>
        <v>12</v>
      </c>
      <c r="H18" s="31">
        <f>Ratings!BG56</f>
        <v>7</v>
      </c>
      <c r="I18" s="31">
        <f>Ratings!BG57</f>
        <v>2</v>
      </c>
      <c r="J18" s="31">
        <f>Ratings!BG58</f>
        <v>12</v>
      </c>
      <c r="K18" s="61">
        <f t="shared" si="1"/>
        <v>73</v>
      </c>
    </row>
    <row r="19" spans="1:11" x14ac:dyDescent="0.25">
      <c r="A19" s="60" t="s">
        <v>280</v>
      </c>
      <c r="B19" s="31">
        <f>Ratings!BK50</f>
        <v>2</v>
      </c>
      <c r="C19" s="31">
        <f>Ratings!BK51</f>
        <v>9</v>
      </c>
      <c r="D19" s="31">
        <f>Ratings!BK52</f>
        <v>7</v>
      </c>
      <c r="E19" s="31">
        <f>Ratings!BK53</f>
        <v>6</v>
      </c>
      <c r="F19" s="31">
        <f>Ratings!BK54</f>
        <v>8</v>
      </c>
      <c r="G19" s="31">
        <f>Ratings!BK55</f>
        <v>9</v>
      </c>
      <c r="H19" s="31">
        <f>Ratings!BK56</f>
        <v>9</v>
      </c>
      <c r="I19" s="31">
        <f>Ratings!BK57</f>
        <v>5</v>
      </c>
      <c r="J19" s="31">
        <f>Ratings!BK58</f>
        <v>8</v>
      </c>
      <c r="K19" s="61">
        <f t="shared" si="1"/>
        <v>63</v>
      </c>
    </row>
    <row r="20" spans="1:11" x14ac:dyDescent="0.25">
      <c r="A20" s="30"/>
      <c r="B20" s="31"/>
      <c r="C20" s="31"/>
      <c r="D20" s="31"/>
      <c r="E20" s="31"/>
      <c r="F20" s="31"/>
      <c r="G20" s="31"/>
      <c r="H20" s="31"/>
      <c r="I20" s="31"/>
      <c r="J20" s="31"/>
      <c r="K20" s="31"/>
    </row>
    <row r="21" spans="1:11" ht="18.75" x14ac:dyDescent="0.25">
      <c r="A21" s="32" t="s">
        <v>281</v>
      </c>
      <c r="B21" s="6">
        <f t="shared" ref="B21:J21" si="2">SUM(B3:B19)-B14</f>
        <v>97</v>
      </c>
      <c r="C21" s="6">
        <f t="shared" si="2"/>
        <v>152</v>
      </c>
      <c r="D21" s="6">
        <f t="shared" si="2"/>
        <v>156</v>
      </c>
      <c r="E21" s="6">
        <f t="shared" si="2"/>
        <v>158</v>
      </c>
      <c r="F21" s="6">
        <f t="shared" si="2"/>
        <v>162</v>
      </c>
      <c r="G21" s="6">
        <f t="shared" si="2"/>
        <v>130</v>
      </c>
      <c r="H21" s="6">
        <f t="shared" si="2"/>
        <v>138</v>
      </c>
      <c r="I21" s="6">
        <f t="shared" si="2"/>
        <v>100</v>
      </c>
      <c r="J21" s="6">
        <f t="shared" si="2"/>
        <v>163</v>
      </c>
      <c r="K21" s="64">
        <f>SUM(K3:K19)/9</f>
        <v>142.22222222222223</v>
      </c>
    </row>
    <row r="22" spans="1:11" ht="18.75" x14ac:dyDescent="0.25">
      <c r="A22" s="32" t="s">
        <v>282</v>
      </c>
      <c r="B22" s="6">
        <f>Ratings!D50</f>
        <v>88</v>
      </c>
      <c r="C22" s="6">
        <f>Ratings!D51</f>
        <v>20</v>
      </c>
      <c r="D22" s="6">
        <f>Ratings!D52</f>
        <v>16</v>
      </c>
      <c r="E22" s="6">
        <f>Ratings!D53</f>
        <v>13</v>
      </c>
      <c r="F22" s="6">
        <f>Ratings!D54</f>
        <v>11</v>
      </c>
      <c r="G22" s="6">
        <f>Ratings!D55</f>
        <v>48</v>
      </c>
      <c r="H22" s="6">
        <f>Ratings!D56</f>
        <v>31</v>
      </c>
      <c r="I22" s="6">
        <f>Ratings!D57</f>
        <v>85</v>
      </c>
      <c r="J22" s="6">
        <f>Ratings!D58</f>
        <v>8</v>
      </c>
      <c r="K22" s="6"/>
    </row>
  </sheetData>
  <pageMargins left="0.45" right="0.2" top="0.25" bottom="0.25" header="0.3" footer="0.3"/>
  <pageSetup orientation="landscape" r:id="rId1"/>
  <ignoredErrors>
    <ignoredError sqref="B9:J9 B11:J11 B16:J16 B19:J19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Active &amp; Renewals</vt:lpstr>
      <vt:lpstr>Donations</vt:lpstr>
      <vt:lpstr>Ratings</vt:lpstr>
      <vt:lpstr>Legends</vt:lpstr>
      <vt:lpstr>D1</vt:lpstr>
      <vt:lpstr>D3</vt:lpstr>
      <vt:lpstr>D4</vt:lpstr>
      <vt:lpstr>D5</vt:lpstr>
      <vt:lpstr>D6</vt:lpstr>
      <vt:lpstr>D7</vt:lpstr>
      <vt:lpstr>D9</vt:lpstr>
      <vt:lpstr>D11</vt:lpstr>
      <vt:lpstr>D12</vt:lpstr>
      <vt:lpstr>D13</vt:lpstr>
      <vt:lpstr>D14</vt:lpstr>
      <vt:lpstr>D15</vt:lpstr>
      <vt:lpstr>Ranking</vt:lpstr>
      <vt:lpstr>Lodge Rank by District</vt:lpstr>
      <vt:lpstr>District </vt:lpstr>
      <vt:lpstr>Worksheet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Foltz</dc:creator>
  <cp:lastModifiedBy>Mike Sagel</cp:lastModifiedBy>
  <cp:lastPrinted>2025-04-20T15:41:37Z</cp:lastPrinted>
  <dcterms:created xsi:type="dcterms:W3CDTF">2024-08-12T17:41:22Z</dcterms:created>
  <dcterms:modified xsi:type="dcterms:W3CDTF">2026-05-22T09:30:17Z</dcterms:modified>
</cp:coreProperties>
</file>